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ดร์ D\รับจริง-จ่ายจริง ปี 2567\"/>
    </mc:Choice>
  </mc:AlternateContent>
  <xr:revisionPtr revIDLastSave="0" documentId="8_{06E09E88-BE18-4293-877A-EE21065B67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รับจริง - รายจ่ายจริง" sheetId="7" r:id="rId1"/>
  </sheets>
  <definedNames>
    <definedName name="_xlnm.Print_Area" localSheetId="0">'รายรับจริง - รายจ่ายจริง'!$A$2:$P$69</definedName>
  </definedNames>
  <calcPr calcId="191029"/>
</workbook>
</file>

<file path=xl/calcChain.xml><?xml version="1.0" encoding="utf-8"?>
<calcChain xmlns="http://schemas.openxmlformats.org/spreadsheetml/2006/main">
  <c r="N93" i="7" l="1"/>
  <c r="N52" i="7"/>
  <c r="N84" i="7"/>
  <c r="N69" i="7"/>
  <c r="N44" i="7"/>
  <c r="N45" i="7"/>
  <c r="N22" i="7"/>
  <c r="C93" i="7"/>
  <c r="K22" i="7" l="1"/>
  <c r="M84" i="7"/>
  <c r="L84" i="7"/>
  <c r="K69" i="7"/>
  <c r="M69" i="7"/>
  <c r="M52" i="7"/>
  <c r="L69" i="7"/>
  <c r="K84" i="7"/>
  <c r="K52" i="7"/>
  <c r="J84" i="7"/>
  <c r="J52" i="7"/>
  <c r="I84" i="7"/>
  <c r="H84" i="7"/>
  <c r="H52" i="7"/>
  <c r="G84" i="7"/>
  <c r="G52" i="7"/>
  <c r="F84" i="7"/>
  <c r="F52" i="7"/>
  <c r="C52" i="7"/>
  <c r="E52" i="7"/>
  <c r="C84" i="7"/>
  <c r="J69" i="7"/>
  <c r="J44" i="7"/>
  <c r="J22" i="7"/>
  <c r="I69" i="7"/>
  <c r="I22" i="7"/>
  <c r="H69" i="7"/>
  <c r="H22" i="7"/>
  <c r="D93" i="7"/>
  <c r="E92" i="7"/>
  <c r="G66" i="7" l="1"/>
  <c r="G69" i="7"/>
  <c r="F66" i="7"/>
  <c r="F69" i="7"/>
  <c r="G22" i="7"/>
  <c r="R22" i="7" s="1"/>
  <c r="F22" i="7"/>
  <c r="E90" i="7"/>
  <c r="D90" i="7"/>
  <c r="C90" i="7"/>
  <c r="E70" i="7"/>
  <c r="E69" i="7"/>
  <c r="E44" i="7"/>
  <c r="R44" i="7"/>
  <c r="E22" i="7"/>
  <c r="D69" i="7"/>
  <c r="D44" i="7"/>
  <c r="D37" i="7" s="1"/>
  <c r="D28" i="7"/>
  <c r="D22" i="7"/>
  <c r="C22" i="7"/>
  <c r="C18" i="7" s="1"/>
  <c r="C69" i="7"/>
  <c r="Q69" i="7" s="1"/>
  <c r="C45" i="7"/>
  <c r="C37" i="7"/>
  <c r="C28" i="7"/>
  <c r="C23" i="7"/>
  <c r="C7" i="7"/>
  <c r="C50" i="7"/>
  <c r="T94" i="7"/>
  <c r="S94" i="7"/>
  <c r="R94" i="7"/>
  <c r="Q94" i="7"/>
  <c r="T93" i="7"/>
  <c r="S93" i="7"/>
  <c r="R93" i="7"/>
  <c r="Q93" i="7"/>
  <c r="T92" i="7"/>
  <c r="S92" i="7"/>
  <c r="R92" i="7"/>
  <c r="Q92" i="7"/>
  <c r="T91" i="7"/>
  <c r="S91" i="7"/>
  <c r="R91" i="7"/>
  <c r="Q91" i="7"/>
  <c r="N90" i="7"/>
  <c r="M90" i="7"/>
  <c r="L90" i="7"/>
  <c r="K90" i="7"/>
  <c r="J90" i="7"/>
  <c r="I90" i="7"/>
  <c r="H90" i="7"/>
  <c r="G90" i="7"/>
  <c r="F90" i="7"/>
  <c r="T89" i="7"/>
  <c r="S89" i="7"/>
  <c r="R89" i="7"/>
  <c r="Q89" i="7"/>
  <c r="T88" i="7"/>
  <c r="S88" i="7"/>
  <c r="R88" i="7"/>
  <c r="Q88" i="7"/>
  <c r="T87" i="7"/>
  <c r="S87" i="7"/>
  <c r="R87" i="7"/>
  <c r="Q87" i="7"/>
  <c r="N86" i="7"/>
  <c r="N83" i="7" s="1"/>
  <c r="M86" i="7"/>
  <c r="M83" i="7" s="1"/>
  <c r="L86" i="7"/>
  <c r="L83" i="7" s="1"/>
  <c r="K86" i="7"/>
  <c r="J86" i="7"/>
  <c r="J83" i="7" s="1"/>
  <c r="I86" i="7"/>
  <c r="H86" i="7"/>
  <c r="H83" i="7" s="1"/>
  <c r="G86" i="7"/>
  <c r="G83" i="7" s="1"/>
  <c r="F86" i="7"/>
  <c r="E86" i="7"/>
  <c r="E83" i="7" s="1"/>
  <c r="D86" i="7"/>
  <c r="D83" i="7" s="1"/>
  <c r="C86" i="7"/>
  <c r="C83" i="7" s="1"/>
  <c r="T85" i="7"/>
  <c r="S85" i="7"/>
  <c r="R85" i="7"/>
  <c r="Q85" i="7"/>
  <c r="T84" i="7"/>
  <c r="S84" i="7"/>
  <c r="R84" i="7"/>
  <c r="Q84" i="7"/>
  <c r="T82" i="7"/>
  <c r="S82" i="7"/>
  <c r="R82" i="7"/>
  <c r="Q82" i="7"/>
  <c r="T81" i="7"/>
  <c r="S81" i="7"/>
  <c r="R81" i="7"/>
  <c r="Q81" i="7"/>
  <c r="T80" i="7"/>
  <c r="S80" i="7"/>
  <c r="R80" i="7"/>
  <c r="Q80" i="7"/>
  <c r="N79" i="7"/>
  <c r="M79" i="7"/>
  <c r="L79" i="7"/>
  <c r="K79" i="7"/>
  <c r="J79" i="7"/>
  <c r="I79" i="7"/>
  <c r="H79" i="7"/>
  <c r="G79" i="7"/>
  <c r="F79" i="7"/>
  <c r="E79" i="7"/>
  <c r="D79" i="7"/>
  <c r="C79" i="7"/>
  <c r="T78" i="7"/>
  <c r="S78" i="7"/>
  <c r="R78" i="7"/>
  <c r="Q78" i="7"/>
  <c r="T77" i="7"/>
  <c r="S77" i="7"/>
  <c r="R77" i="7"/>
  <c r="Q77" i="7"/>
  <c r="T76" i="7"/>
  <c r="S76" i="7"/>
  <c r="R76" i="7"/>
  <c r="Q76" i="7"/>
  <c r="T75" i="7"/>
  <c r="S75" i="7"/>
  <c r="R75" i="7"/>
  <c r="Q75" i="7"/>
  <c r="T74" i="7"/>
  <c r="S74" i="7"/>
  <c r="R74" i="7"/>
  <c r="Q74" i="7"/>
  <c r="T73" i="7"/>
  <c r="S73" i="7"/>
  <c r="R73" i="7"/>
  <c r="Q73" i="7"/>
  <c r="T72" i="7"/>
  <c r="S72" i="7"/>
  <c r="R72" i="7"/>
  <c r="Q72" i="7"/>
  <c r="T71" i="7"/>
  <c r="S71" i="7"/>
  <c r="R71" i="7"/>
  <c r="Q71" i="7"/>
  <c r="N70" i="7"/>
  <c r="M70" i="7"/>
  <c r="L70" i="7"/>
  <c r="K70" i="7"/>
  <c r="J70" i="7"/>
  <c r="I70" i="7"/>
  <c r="H70" i="7"/>
  <c r="G70" i="7"/>
  <c r="F70" i="7"/>
  <c r="D70" i="7"/>
  <c r="C70" i="7"/>
  <c r="T69" i="7"/>
  <c r="S69" i="7"/>
  <c r="T68" i="7"/>
  <c r="S68" i="7"/>
  <c r="R68" i="7"/>
  <c r="Q68" i="7"/>
  <c r="T67" i="7"/>
  <c r="S67" i="7"/>
  <c r="R67" i="7"/>
  <c r="Q67" i="7"/>
  <c r="T66" i="7"/>
  <c r="S66" i="7"/>
  <c r="R66" i="7"/>
  <c r="Q66" i="7"/>
  <c r="T65" i="7"/>
  <c r="S65" i="7"/>
  <c r="R65" i="7"/>
  <c r="Q65" i="7"/>
  <c r="T64" i="7"/>
  <c r="S64" i="7"/>
  <c r="R64" i="7"/>
  <c r="Q64" i="7"/>
  <c r="N63" i="7"/>
  <c r="N62" i="7" s="1"/>
  <c r="M63" i="7"/>
  <c r="M62" i="7" s="1"/>
  <c r="L63" i="7"/>
  <c r="L62" i="7" s="1"/>
  <c r="K63" i="7"/>
  <c r="K62" i="7" s="1"/>
  <c r="J63" i="7"/>
  <c r="J62" i="7" s="1"/>
  <c r="I63" i="7"/>
  <c r="I62" i="7" s="1"/>
  <c r="H63" i="7"/>
  <c r="H62" i="7" s="1"/>
  <c r="G63" i="7"/>
  <c r="F63" i="7"/>
  <c r="E63" i="7"/>
  <c r="E62" i="7" s="1"/>
  <c r="D63" i="7"/>
  <c r="D62" i="7" s="1"/>
  <c r="C63" i="7"/>
  <c r="T58" i="7"/>
  <c r="S58" i="7"/>
  <c r="R58" i="7"/>
  <c r="Q58" i="7"/>
  <c r="T57" i="7"/>
  <c r="S57" i="7"/>
  <c r="R57" i="7"/>
  <c r="Q57" i="7"/>
  <c r="T56" i="7"/>
  <c r="S56" i="7"/>
  <c r="R56" i="7"/>
  <c r="Q56" i="7"/>
  <c r="N55" i="7"/>
  <c r="M55" i="7"/>
  <c r="L55" i="7"/>
  <c r="K55" i="7"/>
  <c r="J55" i="7"/>
  <c r="I55" i="7"/>
  <c r="H55" i="7"/>
  <c r="G55" i="7"/>
  <c r="F55" i="7"/>
  <c r="E55" i="7"/>
  <c r="D55" i="7"/>
  <c r="C55" i="7"/>
  <c r="T54" i="7"/>
  <c r="S54" i="7"/>
  <c r="R54" i="7"/>
  <c r="Q54" i="7"/>
  <c r="T52" i="7"/>
  <c r="S52" i="7"/>
  <c r="R52" i="7"/>
  <c r="Q52" i="7"/>
  <c r="T51" i="7"/>
  <c r="S51" i="7"/>
  <c r="R51" i="7"/>
  <c r="Q51" i="7"/>
  <c r="N50" i="7"/>
  <c r="M50" i="7"/>
  <c r="L50" i="7"/>
  <c r="K50" i="7"/>
  <c r="J50" i="7"/>
  <c r="I50" i="7"/>
  <c r="H50" i="7"/>
  <c r="G50" i="7"/>
  <c r="F50" i="7"/>
  <c r="E50" i="7"/>
  <c r="D50" i="7"/>
  <c r="T49" i="7"/>
  <c r="S49" i="7"/>
  <c r="R49" i="7"/>
  <c r="Q49" i="7"/>
  <c r="T48" i="7"/>
  <c r="S48" i="7"/>
  <c r="R48" i="7"/>
  <c r="Q48" i="7"/>
  <c r="T47" i="7"/>
  <c r="S47" i="7"/>
  <c r="R47" i="7"/>
  <c r="Q47" i="7"/>
  <c r="T46" i="7"/>
  <c r="S46" i="7"/>
  <c r="R46" i="7"/>
  <c r="Q46" i="7"/>
  <c r="M45" i="7"/>
  <c r="L45" i="7"/>
  <c r="K45" i="7"/>
  <c r="J45" i="7"/>
  <c r="I45" i="7"/>
  <c r="H45" i="7"/>
  <c r="G45" i="7"/>
  <c r="F45" i="7"/>
  <c r="E45" i="7"/>
  <c r="D45" i="7"/>
  <c r="T44" i="7"/>
  <c r="S44" i="7"/>
  <c r="Q44" i="7"/>
  <c r="T43" i="7"/>
  <c r="S43" i="7"/>
  <c r="R43" i="7"/>
  <c r="Q43" i="7"/>
  <c r="T42" i="7"/>
  <c r="S42" i="7"/>
  <c r="R42" i="7"/>
  <c r="Q42" i="7"/>
  <c r="T41" i="7"/>
  <c r="S41" i="7"/>
  <c r="O41" i="7" s="1"/>
  <c r="R41" i="7"/>
  <c r="Q41" i="7"/>
  <c r="T40" i="7"/>
  <c r="S40" i="7"/>
  <c r="R40" i="7"/>
  <c r="Q40" i="7"/>
  <c r="T39" i="7"/>
  <c r="S39" i="7"/>
  <c r="R39" i="7"/>
  <c r="Q39" i="7"/>
  <c r="T38" i="7"/>
  <c r="S38" i="7"/>
  <c r="R38" i="7"/>
  <c r="Q38" i="7"/>
  <c r="N37" i="7"/>
  <c r="N112" i="7" s="1"/>
  <c r="M37" i="7"/>
  <c r="L37" i="7"/>
  <c r="K37" i="7"/>
  <c r="J37" i="7"/>
  <c r="I37" i="7"/>
  <c r="H37" i="7"/>
  <c r="G37" i="7"/>
  <c r="F37" i="7"/>
  <c r="E37" i="7"/>
  <c r="T36" i="7"/>
  <c r="S36" i="7"/>
  <c r="R36" i="7"/>
  <c r="Q36" i="7"/>
  <c r="T35" i="7"/>
  <c r="S35" i="7"/>
  <c r="R35" i="7"/>
  <c r="Q35" i="7"/>
  <c r="N34" i="7"/>
  <c r="M34" i="7"/>
  <c r="L34" i="7"/>
  <c r="K34" i="7"/>
  <c r="S34" i="7" s="1"/>
  <c r="J34" i="7"/>
  <c r="I34" i="7"/>
  <c r="H34" i="7"/>
  <c r="G34" i="7"/>
  <c r="F34" i="7"/>
  <c r="E34" i="7"/>
  <c r="D34" i="7"/>
  <c r="C34" i="7"/>
  <c r="T33" i="7"/>
  <c r="S33" i="7"/>
  <c r="R33" i="7"/>
  <c r="Q33" i="7"/>
  <c r="T32" i="7"/>
  <c r="S32" i="7"/>
  <c r="R32" i="7"/>
  <c r="Q32" i="7"/>
  <c r="N31" i="7"/>
  <c r="M31" i="7"/>
  <c r="L31" i="7"/>
  <c r="K31" i="7"/>
  <c r="J31" i="7"/>
  <c r="I31" i="7"/>
  <c r="H31" i="7"/>
  <c r="G31" i="7"/>
  <c r="F31" i="7"/>
  <c r="E31" i="7"/>
  <c r="D31" i="7"/>
  <c r="C31" i="7"/>
  <c r="T30" i="7"/>
  <c r="S30" i="7"/>
  <c r="R30" i="7"/>
  <c r="Q30" i="7"/>
  <c r="T29" i="7"/>
  <c r="S29" i="7"/>
  <c r="R29" i="7"/>
  <c r="Q29" i="7"/>
  <c r="N28" i="7"/>
  <c r="M28" i="7"/>
  <c r="L28" i="7"/>
  <c r="K28" i="7"/>
  <c r="J28" i="7"/>
  <c r="I28" i="7"/>
  <c r="H28" i="7"/>
  <c r="G28" i="7"/>
  <c r="F28" i="7"/>
  <c r="E28" i="7"/>
  <c r="Q28" i="7" s="1"/>
  <c r="T27" i="7"/>
  <c r="S27" i="7"/>
  <c r="R27" i="7"/>
  <c r="Q27" i="7"/>
  <c r="T26" i="7"/>
  <c r="S26" i="7"/>
  <c r="R26" i="7"/>
  <c r="Q26" i="7"/>
  <c r="T25" i="7"/>
  <c r="S25" i="7"/>
  <c r="R25" i="7"/>
  <c r="Q25" i="7"/>
  <c r="T24" i="7"/>
  <c r="S24" i="7"/>
  <c r="R24" i="7"/>
  <c r="Q24" i="7"/>
  <c r="N23" i="7"/>
  <c r="M23" i="7"/>
  <c r="L23" i="7"/>
  <c r="K23" i="7"/>
  <c r="J23" i="7"/>
  <c r="I23" i="7"/>
  <c r="H23" i="7"/>
  <c r="G23" i="7"/>
  <c r="F23" i="7"/>
  <c r="E23" i="7"/>
  <c r="D23" i="7"/>
  <c r="T22" i="7"/>
  <c r="S22" i="7"/>
  <c r="Q22" i="7"/>
  <c r="T21" i="7"/>
  <c r="S21" i="7"/>
  <c r="R21" i="7"/>
  <c r="Q21" i="7"/>
  <c r="T20" i="7"/>
  <c r="S20" i="7"/>
  <c r="R20" i="7"/>
  <c r="Q20" i="7"/>
  <c r="T19" i="7"/>
  <c r="S19" i="7"/>
  <c r="R19" i="7"/>
  <c r="Q19" i="7"/>
  <c r="N18" i="7"/>
  <c r="M18" i="7"/>
  <c r="L18" i="7"/>
  <c r="K18" i="7"/>
  <c r="J18" i="7"/>
  <c r="I18" i="7"/>
  <c r="H18" i="7"/>
  <c r="G18" i="7"/>
  <c r="F18" i="7"/>
  <c r="E18" i="7"/>
  <c r="D18" i="7"/>
  <c r="T16" i="7"/>
  <c r="S16" i="7"/>
  <c r="R16" i="7"/>
  <c r="Q16" i="7"/>
  <c r="T15" i="7"/>
  <c r="S15" i="7"/>
  <c r="R15" i="7"/>
  <c r="Q15" i="7"/>
  <c r="T14" i="7"/>
  <c r="S14" i="7"/>
  <c r="R14" i="7"/>
  <c r="Q14" i="7"/>
  <c r="T13" i="7"/>
  <c r="S13" i="7"/>
  <c r="R13" i="7"/>
  <c r="Q13" i="7"/>
  <c r="T12" i="7"/>
  <c r="S12" i="7"/>
  <c r="R12" i="7"/>
  <c r="Q12" i="7"/>
  <c r="T11" i="7"/>
  <c r="S11" i="7"/>
  <c r="R11" i="7"/>
  <c r="Q11" i="7"/>
  <c r="T10" i="7"/>
  <c r="S10" i="7"/>
  <c r="R10" i="7"/>
  <c r="Q10" i="7"/>
  <c r="T9" i="7"/>
  <c r="S9" i="7"/>
  <c r="R9" i="7"/>
  <c r="Q9" i="7"/>
  <c r="T8" i="7"/>
  <c r="S8" i="7"/>
  <c r="R8" i="7"/>
  <c r="Q8" i="7"/>
  <c r="N7" i="7"/>
  <c r="M7" i="7"/>
  <c r="L7" i="7"/>
  <c r="K7" i="7"/>
  <c r="J7" i="7"/>
  <c r="I7" i="7"/>
  <c r="H7" i="7"/>
  <c r="G7" i="7"/>
  <c r="F7" i="7"/>
  <c r="E7" i="7"/>
  <c r="D7" i="7"/>
  <c r="T86" i="7"/>
  <c r="O91" i="7"/>
  <c r="I83" i="7"/>
  <c r="S63" i="7"/>
  <c r="Q63" i="7"/>
  <c r="T79" i="7"/>
  <c r="F83" i="7"/>
  <c r="K83" i="7"/>
  <c r="Q86" i="7"/>
  <c r="O85" i="7"/>
  <c r="R63" i="7" l="1"/>
  <c r="S23" i="7"/>
  <c r="T31" i="7"/>
  <c r="R79" i="7"/>
  <c r="O82" i="7"/>
  <c r="O87" i="7"/>
  <c r="O88" i="7"/>
  <c r="E17" i="7"/>
  <c r="O43" i="7"/>
  <c r="Q55" i="7"/>
  <c r="C62" i="7"/>
  <c r="O66" i="7"/>
  <c r="J17" i="7"/>
  <c r="T28" i="7"/>
  <c r="N17" i="7"/>
  <c r="N6" i="7" s="1"/>
  <c r="N53" i="7" s="1"/>
  <c r="N59" i="7" s="1"/>
  <c r="T34" i="7"/>
  <c r="O9" i="7"/>
  <c r="O14" i="7"/>
  <c r="O16" i="7"/>
  <c r="O25" i="7"/>
  <c r="O26" i="7"/>
  <c r="R34" i="7"/>
  <c r="O54" i="7"/>
  <c r="O56" i="7"/>
  <c r="O58" i="7"/>
  <c r="O35" i="7"/>
  <c r="O36" i="7"/>
  <c r="O67" i="7"/>
  <c r="R23" i="7"/>
  <c r="S55" i="7"/>
  <c r="S90" i="7"/>
  <c r="O15" i="7"/>
  <c r="T23" i="7"/>
  <c r="O46" i="7"/>
  <c r="R55" i="7"/>
  <c r="O57" i="7"/>
  <c r="O71" i="7"/>
  <c r="O78" i="7"/>
  <c r="O94" i="7"/>
  <c r="S79" i="7"/>
  <c r="Q83" i="7"/>
  <c r="O29" i="7"/>
  <c r="O32" i="7"/>
  <c r="Q34" i="7"/>
  <c r="T45" i="7"/>
  <c r="T55" i="7"/>
  <c r="K95" i="7"/>
  <c r="R86" i="7"/>
  <c r="S86" i="7"/>
  <c r="O89" i="7"/>
  <c r="R90" i="7"/>
  <c r="T90" i="7"/>
  <c r="C17" i="7"/>
  <c r="F62" i="7"/>
  <c r="F95" i="7" s="1"/>
  <c r="T50" i="7"/>
  <c r="O38" i="7"/>
  <c r="T37" i="7"/>
  <c r="M17" i="7"/>
  <c r="M6" i="7" s="1"/>
  <c r="M53" i="7" s="1"/>
  <c r="M59" i="7" s="1"/>
  <c r="O24" i="7"/>
  <c r="T18" i="7"/>
  <c r="O13" i="7"/>
  <c r="T7" i="7"/>
  <c r="N95" i="7"/>
  <c r="T70" i="7"/>
  <c r="O64" i="7"/>
  <c r="O65" i="7"/>
  <c r="O81" i="7"/>
  <c r="L17" i="7"/>
  <c r="S50" i="7"/>
  <c r="O52" i="7"/>
  <c r="K17" i="7"/>
  <c r="K6" i="7" s="1"/>
  <c r="S70" i="7"/>
  <c r="S37" i="7"/>
  <c r="S45" i="7"/>
  <c r="J6" i="7"/>
  <c r="O10" i="7"/>
  <c r="S31" i="7"/>
  <c r="I17" i="7"/>
  <c r="S28" i="7"/>
  <c r="O21" i="7"/>
  <c r="O19" i="7"/>
  <c r="S18" i="7"/>
  <c r="O11" i="7"/>
  <c r="S7" i="7"/>
  <c r="H95" i="7"/>
  <c r="R50" i="7"/>
  <c r="R31" i="7"/>
  <c r="H17" i="7"/>
  <c r="H6" i="7" s="1"/>
  <c r="H53" i="7" s="1"/>
  <c r="H59" i="7" s="1"/>
  <c r="O92" i="7"/>
  <c r="G62" i="7"/>
  <c r="G95" i="7" s="1"/>
  <c r="R69" i="7"/>
  <c r="S83" i="7"/>
  <c r="J95" i="7"/>
  <c r="Q62" i="7"/>
  <c r="I95" i="7"/>
  <c r="S62" i="7"/>
  <c r="T83" i="7"/>
  <c r="L95" i="7"/>
  <c r="T62" i="7"/>
  <c r="M95" i="7"/>
  <c r="O48" i="7"/>
  <c r="T63" i="7"/>
  <c r="O63" i="7" s="1"/>
  <c r="O68" i="7"/>
  <c r="Q79" i="7"/>
  <c r="O79" i="7" s="1"/>
  <c r="Q23" i="7"/>
  <c r="O23" i="7" s="1"/>
  <c r="O27" i="7"/>
  <c r="R45" i="7"/>
  <c r="R83" i="7"/>
  <c r="O74" i="7"/>
  <c r="O80" i="7"/>
  <c r="R70" i="7"/>
  <c r="O49" i="7"/>
  <c r="O39" i="7"/>
  <c r="O47" i="7"/>
  <c r="O42" i="7"/>
  <c r="G17" i="7"/>
  <c r="G6" i="7" s="1"/>
  <c r="G53" i="7" s="1"/>
  <c r="G59" i="7" s="1"/>
  <c r="R28" i="7"/>
  <c r="R18" i="7"/>
  <c r="O8" i="7"/>
  <c r="O93" i="7"/>
  <c r="O84" i="7"/>
  <c r="O77" i="7"/>
  <c r="O76" i="7"/>
  <c r="O75" i="7"/>
  <c r="O73" i="7"/>
  <c r="O72" i="7"/>
  <c r="O69" i="7"/>
  <c r="O51" i="7"/>
  <c r="O40" i="7"/>
  <c r="O33" i="7"/>
  <c r="O30" i="7"/>
  <c r="O20" i="7"/>
  <c r="O22" i="7"/>
  <c r="F17" i="7"/>
  <c r="R7" i="7"/>
  <c r="O12" i="7"/>
  <c r="Q90" i="7"/>
  <c r="D95" i="7"/>
  <c r="E95" i="7"/>
  <c r="R37" i="7"/>
  <c r="O44" i="7"/>
  <c r="Q45" i="7"/>
  <c r="Q37" i="7"/>
  <c r="E6" i="7"/>
  <c r="E53" i="7" s="1"/>
  <c r="E59" i="7" s="1"/>
  <c r="Q70" i="7"/>
  <c r="Q50" i="7"/>
  <c r="D17" i="7"/>
  <c r="D6" i="7" s="1"/>
  <c r="D53" i="7" s="1"/>
  <c r="D59" i="7" s="1"/>
  <c r="Q31" i="7"/>
  <c r="Q18" i="7"/>
  <c r="Q7" i="7"/>
  <c r="C95" i="7"/>
  <c r="O55" i="7" l="1"/>
  <c r="O90" i="7"/>
  <c r="O86" i="7"/>
  <c r="O34" i="7"/>
  <c r="J53" i="7"/>
  <c r="J59" i="7" s="1"/>
  <c r="T17" i="7"/>
  <c r="L6" i="7"/>
  <c r="T6" i="7" s="1"/>
  <c r="O83" i="7"/>
  <c r="O70" i="7"/>
  <c r="K53" i="7"/>
  <c r="K59" i="7" s="1"/>
  <c r="S17" i="7"/>
  <c r="I6" i="7"/>
  <c r="O28" i="7"/>
  <c r="O50" i="7"/>
  <c r="O31" i="7"/>
  <c r="R95" i="7"/>
  <c r="R62" i="7"/>
  <c r="O62" i="7" s="1"/>
  <c r="S95" i="7"/>
  <c r="O45" i="7"/>
  <c r="T95" i="7"/>
  <c r="O37" i="7"/>
  <c r="R17" i="7"/>
  <c r="O18" i="7"/>
  <c r="F6" i="7"/>
  <c r="O7" i="7"/>
  <c r="Q95" i="7"/>
  <c r="Q17" i="7"/>
  <c r="C6" i="7"/>
  <c r="I53" i="7" l="1"/>
  <c r="I59" i="7" s="1"/>
  <c r="S59" i="7" s="1"/>
  <c r="O17" i="7"/>
  <c r="L53" i="7"/>
  <c r="T53" i="7" s="1"/>
  <c r="S6" i="7"/>
  <c r="O95" i="7"/>
  <c r="F53" i="7"/>
  <c r="R6" i="7"/>
  <c r="Q6" i="7"/>
  <c r="C53" i="7"/>
  <c r="C59" i="7" s="1"/>
  <c r="Q59" i="7" s="1"/>
  <c r="S53" i="7" l="1"/>
  <c r="L59" i="7"/>
  <c r="T59" i="7" s="1"/>
  <c r="F59" i="7"/>
  <c r="R59" i="7" s="1"/>
  <c r="R53" i="7"/>
  <c r="O6" i="7"/>
  <c r="Q53" i="7"/>
  <c r="O53" i="7" l="1"/>
  <c r="O59" i="7"/>
</calcChain>
</file>

<file path=xl/sharedStrings.xml><?xml version="1.0" encoding="utf-8"?>
<sst xmlns="http://schemas.openxmlformats.org/spreadsheetml/2006/main" count="140" uniqueCount="122">
  <si>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</si>
  <si>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</si>
  <si>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</si>
  <si>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</si>
  <si>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</si>
  <si>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</si>
  <si>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</si>
  <si>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</si>
  <si>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</si>
  <si>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</si>
  <si>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</si>
  <si>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</si>
  <si>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</si>
  <si>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</si>
  <si>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</si>
  <si>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</si>
  <si>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</si>
  <si>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</si>
  <si>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</si>
  <si>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</si>
  <si>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</si>
  <si>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</si>
  <si>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</si>
  <si>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</si>
  <si>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</si>
  <si>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</si>
  <si>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</si>
  <si>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</si>
  <si>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</si>
  <si>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</si>
  <si>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</si>
  <si>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</si>
  <si>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</si>
  <si>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</si>
  <si>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</si>
  <si>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</si>
  <si>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</si>
  <si>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</si>
  <si>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</si>
  <si>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</si>
  <si>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</si>
  <si>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</si>
  <si>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</si>
  <si>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</si>
  <si>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</si>
  <si>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</si>
  <si>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</si>
  <si>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</si>
  <si>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</si>
  <si>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</si>
  <si>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</si>
  <si>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</si>
  <si>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</si>
  <si>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</si>
  <si>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</si>
  <si>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</si>
  <si>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</si>
  <si>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</si>
  <si>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</si>
  <si>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</si>
  <si>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</si>
  <si>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</si>
  <si>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</si>
  <si>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</si>
  <si>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</si>
  <si>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</si>
  <si>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</si>
  <si>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</si>
  <si>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</si>
  <si>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</si>
  <si>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</si>
  <si>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</si>
  <si>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</si>
  <si>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</si>
  <si>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</si>
  <si>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</si>
  <si>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</si>
  <si>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</si>
  <si>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</si>
  <si>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</si>
  <si>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</si>
  <si>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</si>
  <si>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</si>
  <si>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</si>
  <si>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4.4 อื่นๆ ระบุ.........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</si>
  <si>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</si>
  <si>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</si>
  <si>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>2. เงินทุนสำรองเงินสะสม</t>
  </si>
  <si>
    <r>
      <t xml:space="preserve">หมายเหตุ : เงินสะสม </t>
    </r>
    <r>
      <rPr>
        <b/>
        <vertAlign val="superscript"/>
        <sz val="16"/>
        <color indexed="8"/>
        <rFont val="TH SarabunPSK"/>
        <family val="2"/>
      </rPr>
      <t xml:space="preserve">1/  </t>
    </r>
    <r>
      <rPr>
        <b/>
        <sz val="16"/>
        <color indexed="8"/>
        <rFont val="TH SarabunPSK"/>
        <family val="2"/>
      </rPr>
      <t>หมายถึง เงินสะสมที่องค์กรปกครองส่วนท้องถิ่นจ่ายในเดือนนั้น ๆ</t>
    </r>
  </si>
  <si>
    <t>บาท</t>
  </si>
  <si>
    <t xml:space="preserve">3. เงินสะสมที่สามารถนำไปใช้ได้ </t>
  </si>
  <si>
    <t>1. เงินสะสม</t>
  </si>
  <si>
    <t xml:space="preserve">    6.2 เงินกู้จาก กสท. และ กสอ.</t>
  </si>
  <si>
    <t>2.1 เงินเดือน (ฝ่ายการเมือง)</t>
  </si>
  <si>
    <t>2.2 เงินเดือน (ฝ่ายประจำ)</t>
  </si>
  <si>
    <t>2.3 ค่าตอบแทน</t>
  </si>
  <si>
    <t>2.4 ค่าใช้สอย</t>
  </si>
  <si>
    <t>2.5 ค่าวัสดุ</t>
  </si>
  <si>
    <t>2.6 หมวดค่าสาธารณูปโภค</t>
  </si>
  <si>
    <t>2.7 หมวดเงินอุดหนุน</t>
  </si>
  <si>
    <t>2.8 หมวดรายจ่ายอื่นๆ</t>
  </si>
  <si>
    <t xml:space="preserve">    1.1.1 ภาษีที่ดินและสิ่งปลูกสร้าง</t>
  </si>
  <si>
    <t xml:space="preserve">    1.1.2 ภาษีโรงเรือนและที่ดิน</t>
  </si>
  <si>
    <t xml:space="preserve">    1.1.3 ภาษีบำรุงท้องที่</t>
  </si>
  <si>
    <t xml:space="preserve">    1.1.4 ภาษีป้าย</t>
  </si>
  <si>
    <t xml:space="preserve">    1.1.5 อากรฆ่าสัตว์</t>
  </si>
  <si>
    <t xml:space="preserve">    1.1.6 อากรรังนกอีแอ่น</t>
  </si>
  <si>
    <t xml:space="preserve">    1.1.7 ภาษีบำรุง อบจ.จากยาสูบ</t>
  </si>
  <si>
    <t xml:space="preserve">    1.1.8 ภาษีบำรุง อบจ.จากน้ำมัน</t>
  </si>
  <si>
    <t xml:space="preserve">    1.1.9 ค่าธรรมเนียมบำรุง อบจ. จากผู้เข้าพักในโรงแรม</t>
  </si>
  <si>
    <t>รายรับ</t>
  </si>
  <si>
    <t>รายจ่าย</t>
  </si>
  <si>
    <t>ชื่อองค์กรปกครองส่วนท้องถิ่น องค์การบริหารส่วนตำบล ..................................................................</t>
  </si>
  <si>
    <t>กรอกข้อมูล
เฉพาะตารางสีขาว</t>
  </si>
  <si>
    <t>ตารางรายรับจริง ปีงบประมาณ 2567</t>
  </si>
  <si>
    <t>ปีงบประมาณ 2567</t>
  </si>
  <si>
    <t>*** ข้อมูลปีงบประมาณ 2566 ที่ อปท.ยังไม่ได้จัดส่งหรือมีการแก้ไขข้อมูล ขอความกรุณาใช้แบบฟอร์มเดียวกับปีงบประมาณ 2567</t>
  </si>
  <si>
    <t>ข้อมูลเงินสะสม ณ วันที่ 30 กันยายน 2566</t>
  </si>
  <si>
    <t>องค์การบริหารส่วนตำบลป่าบอน จังหวัดพัทลุง</t>
  </si>
  <si>
    <r>
      <t xml:space="preserve">รหัส อปท. </t>
    </r>
    <r>
      <rPr>
        <b/>
        <u/>
        <sz val="20"/>
        <color indexed="8"/>
        <rFont val="TH SarabunIT๙"/>
        <family val="2"/>
      </rPr>
      <t>6930805</t>
    </r>
  </si>
  <si>
    <r>
      <t>4.2 เงินสะสม</t>
    </r>
    <r>
      <rPr>
        <b/>
        <i/>
        <vertAlign val="superscript"/>
        <sz val="16"/>
        <rFont val="Microsoft Sans Serif"/>
        <family val="2"/>
      </rPr>
      <t xml:space="preserve"> 1/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</si>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</sst>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63"/>
      <name val="TH SarabunPSK"/>
      <family val="2"/>
    </font>
    <font>
      <b/>
      <vertAlign val="superscript"/>
      <sz val="16"/>
      <color indexed="8"/>
      <name val="TH SarabunPSK"/>
      <family val="2"/>
    </font>
    <font>
      <b/>
      <sz val="20"/>
      <color indexed="8"/>
      <name val="TH SarabunIT๙"/>
      <family val="2"/>
    </font>
    <font>
      <b/>
      <sz val="36"/>
      <name val="TH SarabunPSK"/>
      <family val="2"/>
    </font>
    <font>
      <b/>
      <sz val="20"/>
      <color indexed="8"/>
      <name val="TH SarabunPSK"/>
      <family val="2"/>
    </font>
    <font>
      <b/>
      <u/>
      <sz val="20"/>
      <color indexed="8"/>
      <name val="TH SarabunIT๙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1"/>
      <name val="TH SarabunPSK"/>
      <family val="2"/>
      <charset val="222"/>
    </font>
    <font>
      <b/>
      <sz val="16"/>
      <name val="Microsoft Sans Serif"/>
      <family val="2"/>
    </font>
    <font>
      <b/>
      <sz val="16"/>
      <color indexed="8"/>
      <name val="Microsoft Sans Serif"/>
      <family val="2"/>
    </font>
    <font>
      <sz val="16"/>
      <color indexed="8"/>
      <name val="Microsoft Sans Serif"/>
      <family val="2"/>
    </font>
    <font>
      <sz val="11"/>
      <color theme="1"/>
      <name val="Microsoft Sans Serif"/>
      <family val="2"/>
    </font>
    <font>
      <sz val="16"/>
      <name val="Microsoft Sans Serif"/>
      <family val="2"/>
    </font>
    <font>
      <b/>
      <i/>
      <sz val="16"/>
      <name val="Microsoft Sans Serif"/>
      <family val="2"/>
    </font>
    <font>
      <b/>
      <i/>
      <sz val="16"/>
      <color indexed="8"/>
      <name val="Microsoft Sans Serif"/>
      <family val="2"/>
    </font>
    <font>
      <b/>
      <sz val="36"/>
      <name val="Microsoft Sans Serif"/>
      <family val="2"/>
    </font>
    <font>
      <b/>
      <sz val="16"/>
      <color indexed="63"/>
      <name val="Microsoft Sans Serif"/>
      <family val="2"/>
    </font>
    <font>
      <sz val="16"/>
      <color indexed="63"/>
      <name val="Microsoft Sans Serif"/>
      <family val="2"/>
    </font>
    <font>
      <b/>
      <i/>
      <vertAlign val="superscript"/>
      <sz val="16"/>
      <name val="Microsoft Sans Serif"/>
      <family val="2"/>
    </font>
    <font>
      <b/>
      <sz val="16"/>
      <color rgb="FF7030A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3" fontId="4" fillId="0" borderId="23" xfId="1" applyFont="1" applyFill="1" applyBorder="1" applyAlignment="1" applyProtection="1">
      <alignment vertical="center"/>
      <protection locked="0"/>
    </xf>
    <xf numFmtId="43" fontId="4" fillId="0" borderId="22" xfId="1" applyFont="1" applyFill="1" applyBorder="1" applyAlignment="1" applyProtection="1">
      <alignment vertical="center"/>
      <protection locked="0"/>
    </xf>
    <xf numFmtId="0" fontId="2" fillId="0" borderId="24" xfId="0" applyFont="1" applyBorder="1"/>
    <xf numFmtId="0" fontId="0" fillId="0" borderId="25" xfId="0" applyBorder="1" applyProtection="1">
      <protection locked="0"/>
    </xf>
    <xf numFmtId="0" fontId="2" fillId="0" borderId="25" xfId="0" applyFont="1" applyBorder="1"/>
    <xf numFmtId="0" fontId="11" fillId="0" borderId="25" xfId="0" applyFont="1" applyBorder="1"/>
    <xf numFmtId="0" fontId="11" fillId="0" borderId="0" xfId="0" applyFont="1"/>
    <xf numFmtId="0" fontId="2" fillId="0" borderId="24" xfId="0" applyFont="1" applyBorder="1" applyAlignment="1">
      <alignment horizontal="left" readingOrder="1"/>
    </xf>
    <xf numFmtId="0" fontId="11" fillId="0" borderId="26" xfId="0" applyFont="1" applyBorder="1"/>
    <xf numFmtId="0" fontId="11" fillId="0" borderId="12" xfId="0" applyFont="1" applyBorder="1"/>
    <xf numFmtId="0" fontId="0" fillId="0" borderId="0" xfId="0" applyAlignment="1" applyProtection="1">
      <alignment vertical="center"/>
      <protection locked="0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readingOrder="1"/>
    </xf>
    <xf numFmtId="0" fontId="1" fillId="5" borderId="0" xfId="0" applyFont="1" applyFill="1" applyAlignment="1">
      <alignment readingOrder="1"/>
    </xf>
    <xf numFmtId="0" fontId="2" fillId="0" borderId="25" xfId="0" applyFont="1" applyBorder="1" applyProtection="1">
      <protection locked="0"/>
    </xf>
    <xf numFmtId="0" fontId="13" fillId="3" borderId="21" xfId="0" applyFont="1" applyFill="1" applyBorder="1" applyAlignment="1">
      <alignment horizontal="center" vertical="center"/>
    </xf>
    <xf numFmtId="0" fontId="13" fillId="5" borderId="0" xfId="0" applyFont="1" applyFill="1" applyAlignment="1">
      <alignment readingOrder="1"/>
    </xf>
    <xf numFmtId="0" fontId="14" fillId="0" borderId="0" xfId="0" applyFont="1"/>
    <xf numFmtId="0" fontId="15" fillId="0" borderId="0" xfId="0" applyFont="1"/>
    <xf numFmtId="0" fontId="15" fillId="0" borderId="12" xfId="0" applyFont="1" applyBorder="1"/>
    <xf numFmtId="0" fontId="14" fillId="0" borderId="0" xfId="0" applyFont="1" applyProtection="1">
      <protection locked="0"/>
    </xf>
    <xf numFmtId="4" fontId="16" fillId="2" borderId="6" xfId="0" applyNumberFormat="1" applyFont="1" applyFill="1" applyBorder="1"/>
    <xf numFmtId="43" fontId="16" fillId="2" borderId="2" xfId="1" applyFont="1" applyFill="1" applyBorder="1" applyProtection="1"/>
    <xf numFmtId="43" fontId="17" fillId="2" borderId="2" xfId="1" applyFont="1" applyFill="1" applyBorder="1" applyProtection="1"/>
    <xf numFmtId="43" fontId="17" fillId="3" borderId="5" xfId="1" applyFont="1" applyFill="1" applyBorder="1" applyAlignment="1" applyProtection="1"/>
    <xf numFmtId="0" fontId="18" fillId="0" borderId="0" xfId="0" applyFont="1"/>
    <xf numFmtId="43" fontId="18" fillId="3" borderId="6" xfId="1" applyFont="1" applyFill="1" applyBorder="1" applyAlignment="1" applyProtection="1"/>
    <xf numFmtId="43" fontId="18" fillId="3" borderId="2" xfId="1" applyFont="1" applyFill="1" applyBorder="1" applyAlignment="1" applyProtection="1"/>
    <xf numFmtId="43" fontId="18" fillId="3" borderId="5" xfId="1" applyFont="1" applyFill="1" applyBorder="1" applyAlignment="1" applyProtection="1"/>
    <xf numFmtId="0" fontId="19" fillId="0" borderId="0" xfId="0" applyFont="1" applyProtection="1">
      <protection locked="0"/>
    </xf>
    <xf numFmtId="0" fontId="19" fillId="0" borderId="0" xfId="0" applyFont="1"/>
    <xf numFmtId="4" fontId="16" fillId="2" borderId="8" xfId="0" applyNumberFormat="1" applyFont="1" applyFill="1" applyBorder="1"/>
    <xf numFmtId="43" fontId="16" fillId="2" borderId="1" xfId="1" applyFont="1" applyFill="1" applyBorder="1" applyProtection="1"/>
    <xf numFmtId="43" fontId="17" fillId="2" borderId="1" xfId="1" applyFont="1" applyFill="1" applyBorder="1" applyProtection="1"/>
    <xf numFmtId="43" fontId="17" fillId="3" borderId="7" xfId="1" applyFont="1" applyFill="1" applyBorder="1" applyAlignment="1" applyProtection="1"/>
    <xf numFmtId="43" fontId="18" fillId="3" borderId="8" xfId="1" applyFont="1" applyFill="1" applyBorder="1" applyAlignment="1" applyProtection="1"/>
    <xf numFmtId="43" fontId="18" fillId="3" borderId="1" xfId="1" applyFont="1" applyFill="1" applyBorder="1" applyAlignment="1" applyProtection="1"/>
    <xf numFmtId="43" fontId="18" fillId="3" borderId="7" xfId="1" applyFont="1" applyFill="1" applyBorder="1" applyAlignment="1" applyProtection="1"/>
    <xf numFmtId="4" fontId="20" fillId="0" borderId="8" xfId="0" applyNumberFormat="1" applyFont="1" applyBorder="1" applyAlignment="1">
      <alignment horizontal="left" indent="1"/>
    </xf>
    <xf numFmtId="43" fontId="20" fillId="0" borderId="1" xfId="1" applyFont="1" applyFill="1" applyBorder="1" applyProtection="1">
      <protection locked="0"/>
    </xf>
    <xf numFmtId="4" fontId="20" fillId="6" borderId="8" xfId="0" applyNumberFormat="1" applyFont="1" applyFill="1" applyBorder="1" applyAlignment="1">
      <alignment horizontal="left" indent="1"/>
    </xf>
    <xf numFmtId="43" fontId="20" fillId="6" borderId="1" xfId="1" applyFont="1" applyFill="1" applyBorder="1" applyProtection="1">
      <protection locked="0"/>
    </xf>
    <xf numFmtId="43" fontId="17" fillId="6" borderId="7" xfId="1" applyFont="1" applyFill="1" applyBorder="1" applyAlignment="1" applyProtection="1"/>
    <xf numFmtId="0" fontId="18" fillId="6" borderId="0" xfId="0" applyFont="1" applyFill="1"/>
    <xf numFmtId="43" fontId="18" fillId="6" borderId="8" xfId="1" applyFont="1" applyFill="1" applyBorder="1" applyAlignment="1" applyProtection="1"/>
    <xf numFmtId="43" fontId="18" fillId="6" borderId="1" xfId="1" applyFont="1" applyFill="1" applyBorder="1" applyAlignment="1" applyProtection="1"/>
    <xf numFmtId="43" fontId="18" fillId="6" borderId="7" xfId="1" applyFont="1" applyFill="1" applyBorder="1" applyAlignment="1" applyProtection="1"/>
    <xf numFmtId="4" fontId="16" fillId="2" borderId="8" xfId="0" applyNumberFormat="1" applyFont="1" applyFill="1" applyBorder="1" applyAlignment="1">
      <alignment horizontal="left"/>
    </xf>
    <xf numFmtId="4" fontId="20" fillId="0" borderId="8" xfId="0" applyNumberFormat="1" applyFont="1" applyBorder="1" applyAlignment="1">
      <alignment horizontal="left"/>
    </xf>
    <xf numFmtId="43" fontId="18" fillId="0" borderId="1" xfId="1" applyFont="1" applyFill="1" applyBorder="1" applyProtection="1">
      <protection locked="0"/>
    </xf>
    <xf numFmtId="4" fontId="16" fillId="2" borderId="6" xfId="0" applyNumberFormat="1" applyFont="1" applyFill="1" applyBorder="1" applyAlignment="1">
      <alignment horizontal="left"/>
    </xf>
    <xf numFmtId="43" fontId="17" fillId="3" borderId="6" xfId="1" applyFont="1" applyFill="1" applyBorder="1" applyAlignment="1" applyProtection="1"/>
    <xf numFmtId="43" fontId="17" fillId="3" borderId="2" xfId="1" applyFont="1" applyFill="1" applyBorder="1" applyAlignment="1" applyProtection="1"/>
    <xf numFmtId="43" fontId="16" fillId="0" borderId="1" xfId="1" applyFont="1" applyFill="1" applyBorder="1" applyProtection="1">
      <protection locked="0"/>
    </xf>
    <xf numFmtId="43" fontId="16" fillId="6" borderId="1" xfId="1" applyFont="1" applyFill="1" applyBorder="1" applyProtection="1">
      <protection locked="0"/>
    </xf>
    <xf numFmtId="43" fontId="17" fillId="6" borderId="5" xfId="1" applyFont="1" applyFill="1" applyBorder="1" applyAlignment="1" applyProtection="1"/>
    <xf numFmtId="43" fontId="18" fillId="6" borderId="6" xfId="1" applyFont="1" applyFill="1" applyBorder="1" applyAlignment="1" applyProtection="1"/>
    <xf numFmtId="43" fontId="18" fillId="6" borderId="2" xfId="1" applyFont="1" applyFill="1" applyBorder="1" applyAlignment="1" applyProtection="1"/>
    <xf numFmtId="43" fontId="18" fillId="6" borderId="5" xfId="1" applyFont="1" applyFill="1" applyBorder="1" applyAlignment="1" applyProtection="1"/>
    <xf numFmtId="0" fontId="18" fillId="4" borderId="0" xfId="0" applyFont="1" applyFill="1"/>
    <xf numFmtId="43" fontId="20" fillId="2" borderId="1" xfId="1" applyFont="1" applyFill="1" applyBorder="1" applyProtection="1"/>
    <xf numFmtId="43" fontId="18" fillId="2" borderId="1" xfId="1" applyFont="1" applyFill="1" applyBorder="1" applyProtection="1"/>
    <xf numFmtId="4" fontId="21" fillId="2" borderId="10" xfId="0" applyNumberFormat="1" applyFont="1" applyFill="1" applyBorder="1" applyAlignment="1">
      <alignment horizontal="center"/>
    </xf>
    <xf numFmtId="43" fontId="21" fillId="2" borderId="3" xfId="1" applyFont="1" applyFill="1" applyBorder="1" applyProtection="1"/>
    <xf numFmtId="43" fontId="22" fillId="2" borderId="3" xfId="1" applyFont="1" applyFill="1" applyBorder="1" applyProtection="1"/>
    <xf numFmtId="43" fontId="17" fillId="3" borderId="9" xfId="1" applyFont="1" applyFill="1" applyBorder="1" applyAlignment="1" applyProtection="1"/>
    <xf numFmtId="0" fontId="22" fillId="0" borderId="0" xfId="0" applyFont="1"/>
    <xf numFmtId="43" fontId="18" fillId="3" borderId="10" xfId="1" applyFont="1" applyFill="1" applyBorder="1" applyAlignment="1" applyProtection="1"/>
    <xf numFmtId="43" fontId="18" fillId="3" borderId="3" xfId="1" applyFont="1" applyFill="1" applyBorder="1" applyAlignment="1" applyProtection="1"/>
    <xf numFmtId="43" fontId="18" fillId="3" borderId="9" xfId="1" applyFont="1" applyFill="1" applyBorder="1" applyAlignment="1" applyProtection="1"/>
    <xf numFmtId="4" fontId="16" fillId="0" borderId="6" xfId="0" applyNumberFormat="1" applyFont="1" applyBorder="1" applyAlignment="1">
      <alignment horizontal="left"/>
    </xf>
    <xf numFmtId="43" fontId="20" fillId="0" borderId="2" xfId="1" applyFont="1" applyFill="1" applyBorder="1" applyProtection="1">
      <protection locked="0"/>
    </xf>
    <xf numFmtId="43" fontId="18" fillId="0" borderId="2" xfId="1" applyFont="1" applyFill="1" applyBorder="1" applyProtection="1">
      <protection locked="0"/>
    </xf>
    <xf numFmtId="4" fontId="16" fillId="0" borderId="8" xfId="0" applyNumberFormat="1" applyFont="1" applyBorder="1" applyAlignment="1">
      <alignment horizontal="left"/>
    </xf>
    <xf numFmtId="4" fontId="21" fillId="2" borderId="16" xfId="0" applyNumberFormat="1" applyFont="1" applyFill="1" applyBorder="1" applyAlignment="1">
      <alignment horizontal="center"/>
    </xf>
    <xf numFmtId="43" fontId="21" fillId="2" borderId="4" xfId="1" applyFont="1" applyFill="1" applyBorder="1" applyProtection="1"/>
    <xf numFmtId="43" fontId="22" fillId="2" borderId="4" xfId="1" applyFont="1" applyFill="1" applyBorder="1" applyProtection="1"/>
    <xf numFmtId="43" fontId="17" fillId="3" borderId="11" xfId="1" applyFont="1" applyFill="1" applyBorder="1" applyAlignment="1" applyProtection="1"/>
    <xf numFmtId="0" fontId="22" fillId="0" borderId="12" xfId="0" applyFont="1" applyBorder="1"/>
    <xf numFmtId="43" fontId="18" fillId="3" borderId="13" xfId="1" applyFont="1" applyFill="1" applyBorder="1" applyAlignment="1" applyProtection="1"/>
    <xf numFmtId="43" fontId="18" fillId="3" borderId="14" xfId="1" applyFont="1" applyFill="1" applyBorder="1" applyAlignment="1" applyProtection="1"/>
    <xf numFmtId="43" fontId="18" fillId="3" borderId="11" xfId="1" applyFont="1" applyFill="1" applyBorder="1" applyAlignment="1" applyProtection="1"/>
    <xf numFmtId="0" fontId="18" fillId="0" borderId="27" xfId="0" applyFont="1" applyBorder="1" applyAlignment="1" applyProtection="1">
      <alignment vertical="center"/>
      <protection locked="0"/>
    </xf>
    <xf numFmtId="0" fontId="17" fillId="3" borderId="17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6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17" fillId="3" borderId="20" xfId="0" applyFont="1" applyFill="1" applyBorder="1" applyAlignment="1">
      <alignment horizontal="center" vertical="center"/>
    </xf>
    <xf numFmtId="43" fontId="16" fillId="2" borderId="2" xfId="1" applyFont="1" applyFill="1" applyBorder="1" applyAlignment="1" applyProtection="1"/>
    <xf numFmtId="43" fontId="24" fillId="2" borderId="2" xfId="1" applyFont="1" applyFill="1" applyBorder="1" applyAlignment="1" applyProtection="1"/>
    <xf numFmtId="43" fontId="20" fillId="3" borderId="6" xfId="1" applyFont="1" applyFill="1" applyBorder="1" applyAlignment="1" applyProtection="1"/>
    <xf numFmtId="43" fontId="20" fillId="3" borderId="2" xfId="1" applyFont="1" applyFill="1" applyBorder="1" applyAlignment="1" applyProtection="1"/>
    <xf numFmtId="43" fontId="20" fillId="3" borderId="5" xfId="1" applyFont="1" applyFill="1" applyBorder="1" applyAlignment="1" applyProtection="1"/>
    <xf numFmtId="4" fontId="20" fillId="2" borderId="8" xfId="0" applyNumberFormat="1" applyFont="1" applyFill="1" applyBorder="1" applyAlignment="1">
      <alignment horizontal="left" indent="1"/>
    </xf>
    <xf numFmtId="43" fontId="20" fillId="2" borderId="1" xfId="1" applyFont="1" applyFill="1" applyBorder="1" applyAlignment="1" applyProtection="1"/>
    <xf numFmtId="43" fontId="25" fillId="2" borderId="1" xfId="1" applyFont="1" applyFill="1" applyBorder="1" applyAlignment="1" applyProtection="1"/>
    <xf numFmtId="43" fontId="20" fillId="3" borderId="8" xfId="1" applyFont="1" applyFill="1" applyBorder="1" applyAlignment="1" applyProtection="1"/>
    <xf numFmtId="43" fontId="20" fillId="3" borderId="1" xfId="1" applyFont="1" applyFill="1" applyBorder="1" applyAlignment="1" applyProtection="1"/>
    <xf numFmtId="43" fontId="20" fillId="3" borderId="7" xfId="1" applyFont="1" applyFill="1" applyBorder="1" applyAlignment="1" applyProtection="1"/>
    <xf numFmtId="43" fontId="20" fillId="0" borderId="1" xfId="1" applyFont="1" applyFill="1" applyBorder="1" applyAlignment="1" applyProtection="1">
      <protection locked="0"/>
    </xf>
    <xf numFmtId="43" fontId="25" fillId="0" borderId="1" xfId="1" applyFont="1" applyFill="1" applyBorder="1" applyAlignment="1" applyProtection="1">
      <protection locked="0"/>
    </xf>
    <xf numFmtId="43" fontId="25" fillId="0" borderId="2" xfId="1" applyFont="1" applyFill="1" applyBorder="1" applyAlignment="1" applyProtection="1">
      <protection locked="0"/>
    </xf>
    <xf numFmtId="43" fontId="16" fillId="2" borderId="1" xfId="1" applyFont="1" applyFill="1" applyBorder="1" applyAlignment="1" applyProtection="1"/>
    <xf numFmtId="4" fontId="20" fillId="0" borderId="8" xfId="0" applyNumberFormat="1" applyFont="1" applyBorder="1" applyAlignment="1">
      <alignment horizontal="left" indent="2"/>
    </xf>
    <xf numFmtId="43" fontId="20" fillId="4" borderId="1" xfId="1" applyFont="1" applyFill="1" applyBorder="1" applyAlignment="1" applyProtection="1">
      <protection locked="0"/>
    </xf>
    <xf numFmtId="4" fontId="21" fillId="2" borderId="16" xfId="0" applyNumberFormat="1" applyFont="1" applyFill="1" applyBorder="1" applyAlignment="1">
      <alignment horizontal="left"/>
    </xf>
    <xf numFmtId="43" fontId="21" fillId="2" borderId="4" xfId="1" applyFont="1" applyFill="1" applyBorder="1" applyAlignment="1" applyProtection="1"/>
    <xf numFmtId="43" fontId="22" fillId="2" borderId="4" xfId="1" applyFont="1" applyFill="1" applyBorder="1" applyAlignment="1" applyProtection="1"/>
    <xf numFmtId="43" fontId="17" fillId="3" borderId="15" xfId="1" applyFont="1" applyFill="1" applyBorder="1" applyAlignment="1" applyProtection="1"/>
    <xf numFmtId="0" fontId="18" fillId="0" borderId="12" xfId="0" applyFont="1" applyBorder="1"/>
    <xf numFmtId="43" fontId="20" fillId="3" borderId="16" xfId="1" applyFont="1" applyFill="1" applyBorder="1" applyAlignment="1" applyProtection="1"/>
    <xf numFmtId="43" fontId="20" fillId="3" borderId="4" xfId="1" applyFont="1" applyFill="1" applyBorder="1" applyAlignment="1" applyProtection="1"/>
    <xf numFmtId="43" fontId="20" fillId="3" borderId="15" xfId="1" applyFont="1" applyFill="1" applyBorder="1" applyAlignment="1" applyProtection="1"/>
    <xf numFmtId="43" fontId="2" fillId="0" borderId="0" xfId="0" applyNumberFormat="1" applyFont="1" applyProtection="1">
      <protection locked="0"/>
    </xf>
    <xf numFmtId="43" fontId="27" fillId="3" borderId="7" xfId="1" applyFont="1" applyFill="1" applyBorder="1" applyAlignment="1" applyProtection="1"/>
    <xf numFmtId="43" fontId="27" fillId="6" borderId="7" xfId="1" applyFont="1" applyFill="1" applyBorder="1" applyAlignment="1" applyProtection="1"/>
    <xf numFmtId="43" fontId="27" fillId="3" borderId="5" xfId="1" applyFont="1" applyFill="1" applyBorder="1" applyAlignment="1" applyProtection="1"/>
    <xf numFmtId="43" fontId="27" fillId="6" borderId="5" xfId="1" applyFont="1" applyFill="1" applyBorder="1" applyAlignment="1" applyProtection="1"/>
    <xf numFmtId="43" fontId="16" fillId="3" borderId="7" xfId="1" applyFont="1" applyFill="1" applyBorder="1" applyAlignment="1" applyProtection="1"/>
    <xf numFmtId="4" fontId="3" fillId="0" borderId="44" xfId="0" applyNumberFormat="1" applyFont="1" applyBorder="1" applyAlignment="1">
      <alignment horizontal="left" vertical="center"/>
    </xf>
    <xf numFmtId="4" fontId="3" fillId="0" borderId="45" xfId="0" applyNumberFormat="1" applyFont="1" applyBorder="1" applyAlignment="1">
      <alignment horizontal="left" vertical="center"/>
    </xf>
    <xf numFmtId="4" fontId="3" fillId="0" borderId="46" xfId="0" applyNumberFormat="1" applyFont="1" applyBorder="1" applyAlignment="1">
      <alignment horizontal="left" vertical="center"/>
    </xf>
    <xf numFmtId="4" fontId="3" fillId="0" borderId="47" xfId="0" applyNumberFormat="1" applyFont="1" applyBorder="1" applyAlignment="1">
      <alignment horizontal="left" vertical="center"/>
    </xf>
    <xf numFmtId="4" fontId="3" fillId="0" borderId="48" xfId="0" applyNumberFormat="1" applyFont="1" applyBorder="1" applyAlignment="1">
      <alignment horizontal="left" vertical="center"/>
    </xf>
    <xf numFmtId="4" fontId="3" fillId="0" borderId="4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17" fillId="3" borderId="3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4" fontId="23" fillId="3" borderId="35" xfId="0" applyNumberFormat="1" applyFont="1" applyFill="1" applyBorder="1" applyAlignment="1">
      <alignment horizontal="center" vertical="center"/>
    </xf>
    <xf numFmtId="4" fontId="23" fillId="3" borderId="13" xfId="0" applyNumberFormat="1" applyFont="1" applyFill="1" applyBorder="1" applyAlignment="1">
      <alignment horizontal="center" vertical="center"/>
    </xf>
    <xf numFmtId="4" fontId="7" fillId="3" borderId="35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" fontId="3" fillId="0" borderId="36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3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" fontId="3" fillId="0" borderId="41" xfId="0" applyNumberFormat="1" applyFont="1" applyBorder="1" applyAlignment="1">
      <alignment horizontal="left" vertical="center"/>
    </xf>
    <xf numFmtId="4" fontId="3" fillId="0" borderId="42" xfId="0" applyNumberFormat="1" applyFont="1" applyBorder="1" applyAlignment="1">
      <alignment horizontal="left" vertical="center"/>
    </xf>
    <xf numFmtId="4" fontId="3" fillId="0" borderId="43" xfId="0" applyNumberFormat="1" applyFont="1" applyBorder="1" applyAlignment="1">
      <alignment horizontal="left" vertical="center"/>
    </xf>
  </cellXfs>
  <cellStyles count="6">
    <cellStyle name="Comma 2" xfId="2" xr:uid="{00000000-0005-0000-0000-000000000000}"/>
    <cellStyle name="Comma 2 2" xfId="3" xr:uid="{00000000-0005-0000-0000-000001000000}"/>
    <cellStyle name="จุลภาค" xfId="1" builtinId="3"/>
    <cellStyle name="จุลภาค 2" xfId="4" xr:uid="{00000000-0005-0000-0000-000003000000}"/>
    <cellStyle name="จุลภาค 73" xfId="5" xr:uid="{00000000-0005-0000-0000-000004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Z112"/>
  <sheetViews>
    <sheetView tabSelected="1" zoomScale="70" zoomScaleNormal="70" zoomScaleSheetLayoutView="115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N94" sqref="N94"/>
    </sheetView>
  </sheetViews>
  <sheetFormatPr defaultColWidth="9" defaultRowHeight="24.6"/>
  <cols>
    <col min="1" max="1" width="2.77734375" style="2" customWidth="1"/>
    <col min="2" max="2" width="59.6640625" style="3" customWidth="1"/>
    <col min="3" max="7" width="22.44140625" style="31" bestFit="1" customWidth="1"/>
    <col min="8" max="8" width="21.33203125" style="3" bestFit="1" customWidth="1"/>
    <col min="9" max="11" width="22.44140625" style="3" bestFit="1" customWidth="1"/>
    <col min="12" max="12" width="23.88671875" style="3" customWidth="1"/>
    <col min="13" max="13" width="22.44140625" style="3" bestFit="1" customWidth="1"/>
    <col min="14" max="14" width="24.21875" style="3" bestFit="1" customWidth="1"/>
    <col min="15" max="15" width="25.21875" style="3" customWidth="1"/>
    <col min="16" max="16" width="3.109375" style="3" customWidth="1"/>
    <col min="17" max="17" width="25.21875" style="2" customWidth="1"/>
    <col min="18" max="18" width="22.88671875" style="2" customWidth="1"/>
    <col min="19" max="19" width="22.33203125" style="2" customWidth="1"/>
    <col min="20" max="20" width="22.109375" style="2" customWidth="1"/>
    <col min="21" max="16384" width="9" style="2"/>
  </cols>
  <sheetData>
    <row r="1" spans="2:26" ht="27" customHeight="1" thickBot="1">
      <c r="B1" s="150" t="s">
        <v>114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2"/>
      <c r="U1" s="141" t="s">
        <v>113</v>
      </c>
      <c r="V1" s="142"/>
      <c r="W1" s="142"/>
      <c r="X1" s="143"/>
      <c r="Y1"/>
      <c r="Z1"/>
    </row>
    <row r="2" spans="2:26" ht="27" customHeight="1" thickBot="1">
      <c r="B2" s="153" t="s">
        <v>118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44"/>
      <c r="V2" s="145"/>
      <c r="W2" s="145"/>
      <c r="X2" s="146"/>
      <c r="Y2"/>
      <c r="Z2"/>
    </row>
    <row r="3" spans="2:26" ht="27" customHeight="1" thickBot="1">
      <c r="B3" s="153" t="s">
        <v>119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5"/>
      <c r="U3" s="144"/>
      <c r="V3" s="145"/>
      <c r="W3" s="145"/>
      <c r="X3" s="146"/>
      <c r="Y3"/>
      <c r="Z3"/>
    </row>
    <row r="4" spans="2:26" s="20" customFormat="1" ht="18" customHeight="1">
      <c r="B4" s="164" t="s">
        <v>110</v>
      </c>
      <c r="C4" s="159" t="s">
        <v>115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1"/>
      <c r="P4" s="21"/>
      <c r="Q4" s="4"/>
      <c r="R4" s="5"/>
      <c r="S4" s="5"/>
      <c r="T4" s="6"/>
      <c r="U4" s="144"/>
      <c r="V4" s="145"/>
      <c r="W4" s="145"/>
      <c r="X4" s="146"/>
      <c r="Y4"/>
      <c r="Z4"/>
    </row>
    <row r="5" spans="2:26" s="20" customFormat="1" ht="18" customHeight="1" thickBot="1">
      <c r="B5" s="165"/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9" t="s">
        <v>13</v>
      </c>
      <c r="P5" s="22"/>
      <c r="Q5" s="7" t="s">
        <v>14</v>
      </c>
      <c r="R5" s="8" t="s">
        <v>15</v>
      </c>
      <c r="S5" s="8" t="s">
        <v>16</v>
      </c>
      <c r="T5" s="9" t="s">
        <v>17</v>
      </c>
      <c r="U5" s="147"/>
      <c r="V5" s="148"/>
      <c r="W5" s="148"/>
      <c r="X5" s="149"/>
      <c r="Y5"/>
      <c r="Z5"/>
    </row>
    <row r="6" spans="2:26" s="40" customFormat="1" ht="20.25" customHeight="1">
      <c r="B6" s="32" t="s">
        <v>18</v>
      </c>
      <c r="C6" s="33">
        <f>C7+C17</f>
        <v>155173.96</v>
      </c>
      <c r="D6" s="33">
        <f t="shared" ref="D6:N6" si="0">D7+D17</f>
        <v>313617.54000000004</v>
      </c>
      <c r="E6" s="33">
        <f t="shared" si="0"/>
        <v>180169.92</v>
      </c>
      <c r="F6" s="33">
        <f t="shared" si="0"/>
        <v>233575.93</v>
      </c>
      <c r="G6" s="33">
        <f t="shared" si="0"/>
        <v>259461.95</v>
      </c>
      <c r="H6" s="34">
        <f t="shared" si="0"/>
        <v>366262.56</v>
      </c>
      <c r="I6" s="34">
        <f t="shared" si="0"/>
        <v>444120.95999999996</v>
      </c>
      <c r="J6" s="34">
        <f t="shared" si="0"/>
        <v>364938.32999999996</v>
      </c>
      <c r="K6" s="34">
        <f t="shared" si="0"/>
        <v>1313875.6000000001</v>
      </c>
      <c r="L6" s="34">
        <f t="shared" si="0"/>
        <v>537175.78</v>
      </c>
      <c r="M6" s="34">
        <f t="shared" si="0"/>
        <v>344684.76</v>
      </c>
      <c r="N6" s="34">
        <f t="shared" si="0"/>
        <v>212171.37000000002</v>
      </c>
      <c r="O6" s="35">
        <f t="shared" ref="O6:O59" si="1">Q6+R6+S6+T6</f>
        <v>4725228.66</v>
      </c>
      <c r="P6" s="36"/>
      <c r="Q6" s="37">
        <f t="shared" ref="Q6:Q59" si="2">SUM(C6:E6)</f>
        <v>648961.42000000004</v>
      </c>
      <c r="R6" s="38">
        <f t="shared" ref="R6:R59" si="3">SUM(F6:H6)</f>
        <v>859300.44</v>
      </c>
      <c r="S6" s="38">
        <f t="shared" ref="S6:S59" si="4">SUM(I6:K6)</f>
        <v>2122934.89</v>
      </c>
      <c r="T6" s="39">
        <f t="shared" ref="T6:T59" si="5">SUM(L6:N6)</f>
        <v>1094031.9100000001</v>
      </c>
      <c r="Y6" s="41"/>
      <c r="Z6" s="41"/>
    </row>
    <row r="7" spans="2:26" s="40" customFormat="1" ht="20.25" customHeight="1">
      <c r="B7" s="42" t="s">
        <v>19</v>
      </c>
      <c r="C7" s="43">
        <f>SUM(C8:C16)</f>
        <v>8118.96</v>
      </c>
      <c r="D7" s="43">
        <f t="shared" ref="D7:N7" si="6">SUM(D8:D16)</f>
        <v>126822.54000000001</v>
      </c>
      <c r="E7" s="43">
        <f t="shared" si="6"/>
        <v>7876.82</v>
      </c>
      <c r="F7" s="43">
        <f t="shared" si="6"/>
        <v>21670.260000000002</v>
      </c>
      <c r="G7" s="43">
        <f t="shared" si="6"/>
        <v>19578.349999999999</v>
      </c>
      <c r="H7" s="44">
        <f t="shared" si="6"/>
        <v>151554.46</v>
      </c>
      <c r="I7" s="44">
        <f t="shared" si="6"/>
        <v>187342.15</v>
      </c>
      <c r="J7" s="44">
        <f t="shared" si="6"/>
        <v>118239.03</v>
      </c>
      <c r="K7" s="44">
        <f t="shared" si="6"/>
        <v>1096220.4000000001</v>
      </c>
      <c r="L7" s="44">
        <f t="shared" si="6"/>
        <v>257862.78</v>
      </c>
      <c r="M7" s="44">
        <f t="shared" si="6"/>
        <v>180963.91999999998</v>
      </c>
      <c r="N7" s="44">
        <f t="shared" si="6"/>
        <v>12758.6</v>
      </c>
      <c r="O7" s="45">
        <f t="shared" si="1"/>
        <v>2189008.27</v>
      </c>
      <c r="P7" s="36"/>
      <c r="Q7" s="46">
        <f t="shared" si="2"/>
        <v>142818.32</v>
      </c>
      <c r="R7" s="47">
        <f t="shared" si="3"/>
        <v>192803.07</v>
      </c>
      <c r="S7" s="47">
        <f t="shared" si="4"/>
        <v>1401801.58</v>
      </c>
      <c r="T7" s="48">
        <f t="shared" si="5"/>
        <v>451585.29999999993</v>
      </c>
      <c r="Y7" s="41"/>
      <c r="Z7" s="41"/>
    </row>
    <row r="8" spans="2:26" s="40" customFormat="1" ht="20.25" customHeight="1">
      <c r="B8" s="49" t="s">
        <v>101</v>
      </c>
      <c r="C8" s="50">
        <v>18.96</v>
      </c>
      <c r="D8" s="50">
        <v>800.32</v>
      </c>
      <c r="E8" s="50">
        <v>76.819999999999993</v>
      </c>
      <c r="F8" s="50">
        <v>76.260000000000005</v>
      </c>
      <c r="G8" s="50">
        <v>72.2</v>
      </c>
      <c r="H8" s="50">
        <v>53.46</v>
      </c>
      <c r="I8" s="50">
        <v>49067.519999999997</v>
      </c>
      <c r="J8" s="50">
        <v>106922.95</v>
      </c>
      <c r="K8" s="50">
        <v>1088785.58</v>
      </c>
      <c r="L8" s="50">
        <v>250230.17</v>
      </c>
      <c r="M8" s="50">
        <v>55215.89</v>
      </c>
      <c r="N8" s="50">
        <v>5558.6</v>
      </c>
      <c r="O8" s="133">
        <f t="shared" si="1"/>
        <v>1556878.73</v>
      </c>
      <c r="P8" s="36"/>
      <c r="Q8" s="46">
        <f>SUM(C8:E8)</f>
        <v>896.10000000000014</v>
      </c>
      <c r="R8" s="47">
        <f>SUM(F8:H8)</f>
        <v>201.92000000000002</v>
      </c>
      <c r="S8" s="47">
        <f>SUM(I8:K8)</f>
        <v>1244776.05</v>
      </c>
      <c r="T8" s="48">
        <f>SUM(L8:N8)</f>
        <v>311004.65999999997</v>
      </c>
    </row>
    <row r="9" spans="2:26" s="40" customFormat="1" ht="20.25" customHeight="1">
      <c r="B9" s="49" t="s">
        <v>102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5">
        <f t="shared" si="1"/>
        <v>0</v>
      </c>
      <c r="P9" s="36"/>
      <c r="Q9" s="46">
        <f t="shared" si="2"/>
        <v>0</v>
      </c>
      <c r="R9" s="47">
        <f t="shared" si="3"/>
        <v>0</v>
      </c>
      <c r="S9" s="47">
        <f t="shared" si="4"/>
        <v>0</v>
      </c>
      <c r="T9" s="48">
        <f t="shared" si="5"/>
        <v>0</v>
      </c>
    </row>
    <row r="10" spans="2:26" s="40" customFormat="1" ht="20.25" customHeight="1">
      <c r="B10" s="49" t="s">
        <v>103</v>
      </c>
      <c r="C10" s="50"/>
      <c r="D10" s="50"/>
      <c r="E10" s="50"/>
      <c r="F10" s="50"/>
      <c r="G10" s="50">
        <v>31.15</v>
      </c>
      <c r="H10" s="50"/>
      <c r="I10" s="50">
        <v>150.41</v>
      </c>
      <c r="J10" s="50">
        <v>2616.08</v>
      </c>
      <c r="K10" s="50">
        <v>834.82</v>
      </c>
      <c r="L10" s="50">
        <v>132.61000000000001</v>
      </c>
      <c r="M10" s="50">
        <v>25.81</v>
      </c>
      <c r="N10" s="50"/>
      <c r="O10" s="129">
        <f t="shared" si="1"/>
        <v>3790.88</v>
      </c>
      <c r="P10" s="36"/>
      <c r="Q10" s="46">
        <f t="shared" si="2"/>
        <v>0</v>
      </c>
      <c r="R10" s="47">
        <f t="shared" si="3"/>
        <v>31.15</v>
      </c>
      <c r="S10" s="47">
        <f t="shared" si="4"/>
        <v>3601.31</v>
      </c>
      <c r="T10" s="48">
        <f t="shared" si="5"/>
        <v>158.42000000000002</v>
      </c>
    </row>
    <row r="11" spans="2:26" s="40" customFormat="1" ht="20.25" customHeight="1">
      <c r="B11" s="49" t="s">
        <v>104</v>
      </c>
      <c r="C11" s="50"/>
      <c r="D11" s="50"/>
      <c r="E11" s="50"/>
      <c r="F11" s="50">
        <v>14694</v>
      </c>
      <c r="G11" s="50">
        <v>12275</v>
      </c>
      <c r="H11" s="50">
        <v>143701</v>
      </c>
      <c r="I11" s="50">
        <v>30802</v>
      </c>
      <c r="J11" s="50"/>
      <c r="K11" s="50"/>
      <c r="L11" s="50"/>
      <c r="M11" s="50"/>
      <c r="N11" s="50"/>
      <c r="O11" s="129">
        <f t="shared" si="1"/>
        <v>201472</v>
      </c>
      <c r="P11" s="36"/>
      <c r="Q11" s="46">
        <f t="shared" si="2"/>
        <v>0</v>
      </c>
      <c r="R11" s="47">
        <f t="shared" si="3"/>
        <v>170670</v>
      </c>
      <c r="S11" s="47">
        <f t="shared" si="4"/>
        <v>30802</v>
      </c>
      <c r="T11" s="48">
        <f t="shared" si="5"/>
        <v>0</v>
      </c>
    </row>
    <row r="12" spans="2:26" s="40" customFormat="1" ht="20.25" customHeight="1">
      <c r="B12" s="49" t="s">
        <v>105</v>
      </c>
      <c r="C12" s="50">
        <v>8100</v>
      </c>
      <c r="D12" s="50">
        <v>7800</v>
      </c>
      <c r="E12" s="50">
        <v>7800</v>
      </c>
      <c r="F12" s="50">
        <v>6900</v>
      </c>
      <c r="G12" s="50">
        <v>7200</v>
      </c>
      <c r="H12" s="50">
        <v>7800</v>
      </c>
      <c r="I12" s="50">
        <v>6600</v>
      </c>
      <c r="J12" s="50">
        <v>8700</v>
      </c>
      <c r="K12" s="50">
        <v>6600</v>
      </c>
      <c r="L12" s="50">
        <v>7500</v>
      </c>
      <c r="M12" s="50">
        <v>7500</v>
      </c>
      <c r="N12" s="50">
        <v>7200</v>
      </c>
      <c r="O12" s="129">
        <f t="shared" si="1"/>
        <v>89700</v>
      </c>
      <c r="P12" s="36"/>
      <c r="Q12" s="46">
        <f t="shared" si="2"/>
        <v>23700</v>
      </c>
      <c r="R12" s="47">
        <f t="shared" si="3"/>
        <v>21900</v>
      </c>
      <c r="S12" s="47">
        <f t="shared" si="4"/>
        <v>21900</v>
      </c>
      <c r="T12" s="48">
        <f t="shared" si="5"/>
        <v>22200</v>
      </c>
    </row>
    <row r="13" spans="2:26" s="40" customFormat="1" ht="20.25" customHeight="1">
      <c r="B13" s="51" t="s">
        <v>106</v>
      </c>
      <c r="C13" s="52"/>
      <c r="D13" s="52">
        <v>118222.22</v>
      </c>
      <c r="E13" s="52"/>
      <c r="F13" s="52"/>
      <c r="G13" s="52"/>
      <c r="H13" s="52"/>
      <c r="I13" s="52">
        <v>100722.22</v>
      </c>
      <c r="J13" s="52"/>
      <c r="K13" s="52"/>
      <c r="L13" s="52"/>
      <c r="M13" s="52">
        <v>118222.22</v>
      </c>
      <c r="N13" s="52"/>
      <c r="O13" s="130">
        <f t="shared" si="1"/>
        <v>337166.66000000003</v>
      </c>
      <c r="P13" s="54"/>
      <c r="Q13" s="55">
        <f t="shared" si="2"/>
        <v>118222.22</v>
      </c>
      <c r="R13" s="56">
        <f t="shared" si="3"/>
        <v>0</v>
      </c>
      <c r="S13" s="56">
        <f t="shared" si="4"/>
        <v>100722.22</v>
      </c>
      <c r="T13" s="57">
        <f t="shared" si="5"/>
        <v>118222.22</v>
      </c>
    </row>
    <row r="14" spans="2:26" s="40" customFormat="1" ht="20.25" customHeight="1">
      <c r="B14" s="51" t="s">
        <v>107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>
        <f t="shared" si="1"/>
        <v>0</v>
      </c>
      <c r="P14" s="54"/>
      <c r="Q14" s="55">
        <f t="shared" si="2"/>
        <v>0</v>
      </c>
      <c r="R14" s="56">
        <f t="shared" si="3"/>
        <v>0</v>
      </c>
      <c r="S14" s="56">
        <f t="shared" si="4"/>
        <v>0</v>
      </c>
      <c r="T14" s="57">
        <f t="shared" si="5"/>
        <v>0</v>
      </c>
    </row>
    <row r="15" spans="2:26" s="40" customFormat="1" ht="20.25" customHeight="1">
      <c r="B15" s="51" t="s">
        <v>108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>
        <f t="shared" si="1"/>
        <v>0</v>
      </c>
      <c r="P15" s="54"/>
      <c r="Q15" s="55">
        <f t="shared" si="2"/>
        <v>0</v>
      </c>
      <c r="R15" s="56">
        <f t="shared" si="3"/>
        <v>0</v>
      </c>
      <c r="S15" s="56">
        <f t="shared" si="4"/>
        <v>0</v>
      </c>
      <c r="T15" s="57">
        <f t="shared" si="5"/>
        <v>0</v>
      </c>
    </row>
    <row r="16" spans="2:26" s="40" customFormat="1" ht="20.25" customHeight="1">
      <c r="B16" s="51" t="s">
        <v>109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>
        <f t="shared" si="1"/>
        <v>0</v>
      </c>
      <c r="P16" s="54"/>
      <c r="Q16" s="55">
        <f t="shared" si="2"/>
        <v>0</v>
      </c>
      <c r="R16" s="56">
        <f t="shared" si="3"/>
        <v>0</v>
      </c>
      <c r="S16" s="56">
        <f t="shared" si="4"/>
        <v>0</v>
      </c>
      <c r="T16" s="57">
        <f t="shared" si="5"/>
        <v>0</v>
      </c>
    </row>
    <row r="17" spans="2:20" s="40" customFormat="1" ht="20.25" customHeight="1">
      <c r="B17" s="42" t="s">
        <v>20</v>
      </c>
      <c r="C17" s="43">
        <f>C18+C23+C28+C31</f>
        <v>147055</v>
      </c>
      <c r="D17" s="43">
        <f t="shared" ref="D17:N17" si="7">D18+D23+D28+D31+D34</f>
        <v>186795</v>
      </c>
      <c r="E17" s="43">
        <f t="shared" si="7"/>
        <v>172293.1</v>
      </c>
      <c r="F17" s="43">
        <f t="shared" si="7"/>
        <v>211905.66999999998</v>
      </c>
      <c r="G17" s="43">
        <f t="shared" si="7"/>
        <v>239883.6</v>
      </c>
      <c r="H17" s="43">
        <f t="shared" si="7"/>
        <v>214708.1</v>
      </c>
      <c r="I17" s="43">
        <f t="shared" si="7"/>
        <v>256778.81</v>
      </c>
      <c r="J17" s="43">
        <f t="shared" si="7"/>
        <v>246699.3</v>
      </c>
      <c r="K17" s="43">
        <f t="shared" si="7"/>
        <v>217655.2</v>
      </c>
      <c r="L17" s="43">
        <f t="shared" si="7"/>
        <v>279313</v>
      </c>
      <c r="M17" s="43">
        <f t="shared" si="7"/>
        <v>163720.84</v>
      </c>
      <c r="N17" s="43">
        <f t="shared" si="7"/>
        <v>199412.77000000002</v>
      </c>
      <c r="O17" s="45">
        <f>Q17+R17+S17+T17</f>
        <v>2536220.39</v>
      </c>
      <c r="P17" s="36"/>
      <c r="Q17" s="46">
        <f t="shared" si="2"/>
        <v>506143.1</v>
      </c>
      <c r="R17" s="47">
        <f t="shared" si="3"/>
        <v>666497.37</v>
      </c>
      <c r="S17" s="47">
        <f t="shared" si="4"/>
        <v>721133.31</v>
      </c>
      <c r="T17" s="48">
        <f t="shared" si="5"/>
        <v>642446.61</v>
      </c>
    </row>
    <row r="18" spans="2:20" s="40" customFormat="1" ht="20.25" customHeight="1">
      <c r="B18" s="58" t="s">
        <v>21</v>
      </c>
      <c r="C18" s="43">
        <f>SUM(C19:C22)</f>
        <v>21574</v>
      </c>
      <c r="D18" s="43">
        <f t="shared" ref="D18:N18" si="8">SUM(D19:D22)</f>
        <v>61885</v>
      </c>
      <c r="E18" s="43">
        <f t="shared" si="8"/>
        <v>35172.1</v>
      </c>
      <c r="F18" s="43">
        <f t="shared" si="8"/>
        <v>44288.4</v>
      </c>
      <c r="G18" s="43">
        <f t="shared" si="8"/>
        <v>40947.599999999999</v>
      </c>
      <c r="H18" s="44">
        <f t="shared" si="8"/>
        <v>21437.1</v>
      </c>
      <c r="I18" s="44">
        <f t="shared" si="8"/>
        <v>22036</v>
      </c>
      <c r="J18" s="44">
        <f t="shared" si="8"/>
        <v>24916.3</v>
      </c>
      <c r="K18" s="44">
        <f t="shared" si="8"/>
        <v>25838.2</v>
      </c>
      <c r="L18" s="44">
        <f t="shared" si="8"/>
        <v>47790</v>
      </c>
      <c r="M18" s="44">
        <f t="shared" si="8"/>
        <v>20457.3</v>
      </c>
      <c r="N18" s="44">
        <f t="shared" si="8"/>
        <v>26412</v>
      </c>
      <c r="O18" s="45">
        <f t="shared" si="1"/>
        <v>392754</v>
      </c>
      <c r="P18" s="36"/>
      <c r="Q18" s="46">
        <f t="shared" si="2"/>
        <v>118631.1</v>
      </c>
      <c r="R18" s="47">
        <f t="shared" si="3"/>
        <v>106673.1</v>
      </c>
      <c r="S18" s="47">
        <f t="shared" si="4"/>
        <v>72790.5</v>
      </c>
      <c r="T18" s="48">
        <f t="shared" si="5"/>
        <v>94659.3</v>
      </c>
    </row>
    <row r="19" spans="2:20" s="40" customFormat="1" ht="20.25" customHeight="1">
      <c r="B19" s="59" t="s">
        <v>22</v>
      </c>
      <c r="C19" s="50">
        <v>144</v>
      </c>
      <c r="D19" s="50">
        <v>55</v>
      </c>
      <c r="E19" s="50">
        <v>4120</v>
      </c>
      <c r="F19" s="50">
        <v>102</v>
      </c>
      <c r="G19" s="50">
        <v>6323</v>
      </c>
      <c r="H19" s="50">
        <v>368</v>
      </c>
      <c r="I19" s="50">
        <v>26</v>
      </c>
      <c r="J19" s="50">
        <v>1519</v>
      </c>
      <c r="K19" s="50">
        <v>116</v>
      </c>
      <c r="L19" s="50">
        <v>340</v>
      </c>
      <c r="M19" s="50"/>
      <c r="N19" s="50">
        <v>1142</v>
      </c>
      <c r="O19" s="129">
        <f t="shared" si="1"/>
        <v>14255</v>
      </c>
      <c r="P19" s="36"/>
      <c r="Q19" s="46">
        <f t="shared" si="2"/>
        <v>4319</v>
      </c>
      <c r="R19" s="47">
        <f t="shared" si="3"/>
        <v>6793</v>
      </c>
      <c r="S19" s="47">
        <f t="shared" si="4"/>
        <v>1661</v>
      </c>
      <c r="T19" s="48">
        <f t="shared" si="5"/>
        <v>1482</v>
      </c>
    </row>
    <row r="20" spans="2:20" s="40" customFormat="1" ht="20.25" customHeight="1">
      <c r="B20" s="59" t="s">
        <v>23</v>
      </c>
      <c r="C20" s="50">
        <v>11970</v>
      </c>
      <c r="D20" s="50">
        <v>59480</v>
      </c>
      <c r="E20" s="50">
        <v>16480</v>
      </c>
      <c r="F20" s="50">
        <v>15780</v>
      </c>
      <c r="G20" s="50">
        <v>20410</v>
      </c>
      <c r="H20" s="50">
        <v>17470</v>
      </c>
      <c r="I20" s="50">
        <v>15930</v>
      </c>
      <c r="J20" s="50">
        <v>16450</v>
      </c>
      <c r="K20" s="50">
        <v>17520</v>
      </c>
      <c r="L20" s="50">
        <v>41950</v>
      </c>
      <c r="M20" s="50">
        <v>16010</v>
      </c>
      <c r="N20" s="50">
        <v>18480</v>
      </c>
      <c r="O20" s="129">
        <f t="shared" si="1"/>
        <v>267930</v>
      </c>
      <c r="P20" s="36"/>
      <c r="Q20" s="46">
        <f t="shared" si="2"/>
        <v>87930</v>
      </c>
      <c r="R20" s="47">
        <f t="shared" si="3"/>
        <v>53660</v>
      </c>
      <c r="S20" s="47">
        <f t="shared" si="4"/>
        <v>49900</v>
      </c>
      <c r="T20" s="48">
        <f t="shared" si="5"/>
        <v>76440</v>
      </c>
    </row>
    <row r="21" spans="2:20" s="40" customFormat="1" ht="20.25" customHeight="1">
      <c r="B21" s="59" t="s">
        <v>24</v>
      </c>
      <c r="C21" s="50">
        <v>1200</v>
      </c>
      <c r="D21" s="50">
        <v>400</v>
      </c>
      <c r="E21" s="50"/>
      <c r="F21" s="50"/>
      <c r="G21" s="50">
        <v>400</v>
      </c>
      <c r="H21" s="50"/>
      <c r="I21" s="50">
        <v>400</v>
      </c>
      <c r="J21" s="50"/>
      <c r="K21" s="50">
        <v>1500</v>
      </c>
      <c r="L21" s="50"/>
      <c r="M21" s="50"/>
      <c r="N21" s="50">
        <v>1400</v>
      </c>
      <c r="O21" s="129">
        <f t="shared" si="1"/>
        <v>5300</v>
      </c>
      <c r="P21" s="36"/>
      <c r="Q21" s="46">
        <f t="shared" si="2"/>
        <v>1600</v>
      </c>
      <c r="R21" s="47">
        <f t="shared" si="3"/>
        <v>400</v>
      </c>
      <c r="S21" s="47">
        <f t="shared" si="4"/>
        <v>1900</v>
      </c>
      <c r="T21" s="48">
        <f t="shared" si="5"/>
        <v>1400</v>
      </c>
    </row>
    <row r="22" spans="2:20" s="40" customFormat="1" ht="20.25" customHeight="1">
      <c r="B22" s="59" t="s">
        <v>25</v>
      </c>
      <c r="C22" s="50">
        <f>10+50+8200</f>
        <v>8260</v>
      </c>
      <c r="D22" s="50">
        <f>80+70+1300+500</f>
        <v>1950</v>
      </c>
      <c r="E22" s="50">
        <f>29.1+70+50+5223+9200</f>
        <v>14572.1</v>
      </c>
      <c r="F22" s="50">
        <f>116.4+170+120+3800+24200</f>
        <v>28406.400000000001</v>
      </c>
      <c r="G22" s="50">
        <f>174.6+40+100+700+12800</f>
        <v>13814.6</v>
      </c>
      <c r="H22" s="50">
        <f>29.1+20+50+3500</f>
        <v>3599.1</v>
      </c>
      <c r="I22" s="50">
        <f>30+50+100+5500</f>
        <v>5680</v>
      </c>
      <c r="J22" s="50">
        <f>87.3+60+100+6700</f>
        <v>6947.3</v>
      </c>
      <c r="K22" s="50">
        <f>252.2+100+50+300+6000</f>
        <v>6702.2</v>
      </c>
      <c r="L22" s="50">
        <v>5500</v>
      </c>
      <c r="M22" s="50">
        <v>4447.3</v>
      </c>
      <c r="N22" s="50">
        <f>90+100+5200</f>
        <v>5390</v>
      </c>
      <c r="O22" s="129">
        <f t="shared" si="1"/>
        <v>105269</v>
      </c>
      <c r="P22" s="36"/>
      <c r="Q22" s="46">
        <f t="shared" si="2"/>
        <v>24782.1</v>
      </c>
      <c r="R22" s="47">
        <f t="shared" si="3"/>
        <v>45820.1</v>
      </c>
      <c r="S22" s="47">
        <f t="shared" si="4"/>
        <v>19329.5</v>
      </c>
      <c r="T22" s="48">
        <f t="shared" si="5"/>
        <v>15337.3</v>
      </c>
    </row>
    <row r="23" spans="2:20" s="40" customFormat="1" ht="20.25" customHeight="1">
      <c r="B23" s="58" t="s">
        <v>72</v>
      </c>
      <c r="C23" s="43">
        <f>SUM(C24:C27)</f>
        <v>0</v>
      </c>
      <c r="D23" s="43">
        <f t="shared" ref="D23:N23" si="9">SUM(D24:D27)</f>
        <v>0</v>
      </c>
      <c r="E23" s="43">
        <f t="shared" si="9"/>
        <v>0</v>
      </c>
      <c r="F23" s="43">
        <f t="shared" si="9"/>
        <v>24332.27</v>
      </c>
      <c r="G23" s="43">
        <f t="shared" si="9"/>
        <v>0</v>
      </c>
      <c r="H23" s="44">
        <f t="shared" si="9"/>
        <v>0</v>
      </c>
      <c r="I23" s="44">
        <f t="shared" si="9"/>
        <v>18647.810000000001</v>
      </c>
      <c r="J23" s="44">
        <f t="shared" si="9"/>
        <v>0</v>
      </c>
      <c r="K23" s="44">
        <f t="shared" si="9"/>
        <v>0</v>
      </c>
      <c r="L23" s="44">
        <f t="shared" si="9"/>
        <v>0</v>
      </c>
      <c r="M23" s="44">
        <f t="shared" si="9"/>
        <v>39460.54</v>
      </c>
      <c r="N23" s="44">
        <f t="shared" si="9"/>
        <v>10664.77</v>
      </c>
      <c r="O23" s="45">
        <f t="shared" si="1"/>
        <v>93105.39</v>
      </c>
      <c r="P23" s="36"/>
      <c r="Q23" s="46">
        <f t="shared" si="2"/>
        <v>0</v>
      </c>
      <c r="R23" s="47">
        <f t="shared" si="3"/>
        <v>24332.27</v>
      </c>
      <c r="S23" s="47">
        <f t="shared" si="4"/>
        <v>18647.810000000001</v>
      </c>
      <c r="T23" s="48">
        <f t="shared" si="5"/>
        <v>50125.31</v>
      </c>
    </row>
    <row r="24" spans="2:20" s="40" customFormat="1" ht="20.25" customHeight="1">
      <c r="B24" s="59" t="s">
        <v>26</v>
      </c>
      <c r="C24" s="50"/>
      <c r="D24" s="50"/>
      <c r="E24" s="50"/>
      <c r="F24" s="50">
        <v>24332.27</v>
      </c>
      <c r="G24" s="50"/>
      <c r="H24" s="50"/>
      <c r="I24" s="50">
        <v>18647.810000000001</v>
      </c>
      <c r="J24" s="50"/>
      <c r="K24" s="50"/>
      <c r="L24" s="50"/>
      <c r="M24" s="50">
        <v>39460.54</v>
      </c>
      <c r="N24" s="50">
        <v>10664.77</v>
      </c>
      <c r="O24" s="129">
        <f t="shared" si="1"/>
        <v>93105.39</v>
      </c>
      <c r="P24" s="36"/>
      <c r="Q24" s="46">
        <f t="shared" si="2"/>
        <v>0</v>
      </c>
      <c r="R24" s="47">
        <f t="shared" si="3"/>
        <v>24332.27</v>
      </c>
      <c r="S24" s="47">
        <f t="shared" si="4"/>
        <v>18647.810000000001</v>
      </c>
      <c r="T24" s="48">
        <f t="shared" si="5"/>
        <v>50125.31</v>
      </c>
    </row>
    <row r="25" spans="2:20" s="40" customFormat="1" ht="20.25" customHeight="1">
      <c r="B25" s="59" t="s">
        <v>27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45">
        <f t="shared" si="1"/>
        <v>0</v>
      </c>
      <c r="P25" s="36"/>
      <c r="Q25" s="46">
        <f t="shared" si="2"/>
        <v>0</v>
      </c>
      <c r="R25" s="47">
        <f t="shared" si="3"/>
        <v>0</v>
      </c>
      <c r="S25" s="47">
        <f t="shared" si="4"/>
        <v>0</v>
      </c>
      <c r="T25" s="48">
        <f t="shared" si="5"/>
        <v>0</v>
      </c>
    </row>
    <row r="26" spans="2:20" s="40" customFormat="1" ht="20.25" customHeight="1">
      <c r="B26" s="59" t="s">
        <v>28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45">
        <f t="shared" si="1"/>
        <v>0</v>
      </c>
      <c r="P26" s="36"/>
      <c r="Q26" s="46">
        <f t="shared" si="2"/>
        <v>0</v>
      </c>
      <c r="R26" s="47">
        <f t="shared" si="3"/>
        <v>0</v>
      </c>
      <c r="S26" s="47">
        <f t="shared" si="4"/>
        <v>0</v>
      </c>
      <c r="T26" s="48">
        <f t="shared" si="5"/>
        <v>0</v>
      </c>
    </row>
    <row r="27" spans="2:20" s="40" customFormat="1" ht="20.25" customHeight="1">
      <c r="B27" s="59" t="s">
        <v>82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45">
        <f t="shared" si="1"/>
        <v>0</v>
      </c>
      <c r="P27" s="36"/>
      <c r="Q27" s="46">
        <f t="shared" si="2"/>
        <v>0</v>
      </c>
      <c r="R27" s="47">
        <f t="shared" si="3"/>
        <v>0</v>
      </c>
      <c r="S27" s="47">
        <f t="shared" si="4"/>
        <v>0</v>
      </c>
      <c r="T27" s="48">
        <f t="shared" si="5"/>
        <v>0</v>
      </c>
    </row>
    <row r="28" spans="2:20" s="40" customFormat="1" ht="20.25" customHeight="1">
      <c r="B28" s="58" t="s">
        <v>73</v>
      </c>
      <c r="C28" s="43">
        <f>SUM(C29:C30)</f>
        <v>122081</v>
      </c>
      <c r="D28" s="43">
        <f t="shared" ref="D28:N28" si="10">SUM(D29:D30)</f>
        <v>123610</v>
      </c>
      <c r="E28" s="43">
        <f t="shared" si="10"/>
        <v>137121</v>
      </c>
      <c r="F28" s="43">
        <f t="shared" si="10"/>
        <v>141285</v>
      </c>
      <c r="G28" s="43">
        <f t="shared" si="10"/>
        <v>196536</v>
      </c>
      <c r="H28" s="44">
        <f t="shared" si="10"/>
        <v>189691</v>
      </c>
      <c r="I28" s="44">
        <f t="shared" si="10"/>
        <v>213995</v>
      </c>
      <c r="J28" s="44">
        <f t="shared" si="10"/>
        <v>218883</v>
      </c>
      <c r="K28" s="44">
        <f t="shared" si="10"/>
        <v>188217</v>
      </c>
      <c r="L28" s="44">
        <f t="shared" si="10"/>
        <v>226823</v>
      </c>
      <c r="M28" s="44">
        <f t="shared" si="10"/>
        <v>102403</v>
      </c>
      <c r="N28" s="44">
        <f t="shared" si="10"/>
        <v>161736</v>
      </c>
      <c r="O28" s="45">
        <f t="shared" si="1"/>
        <v>2022381</v>
      </c>
      <c r="P28" s="36"/>
      <c r="Q28" s="46">
        <f t="shared" si="2"/>
        <v>382812</v>
      </c>
      <c r="R28" s="47">
        <f t="shared" si="3"/>
        <v>527512</v>
      </c>
      <c r="S28" s="47">
        <f t="shared" si="4"/>
        <v>621095</v>
      </c>
      <c r="T28" s="48">
        <f t="shared" si="5"/>
        <v>490962</v>
      </c>
    </row>
    <row r="29" spans="2:20" s="40" customFormat="1" ht="20.25" customHeight="1">
      <c r="B29" s="59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45">
        <f t="shared" si="1"/>
        <v>0</v>
      </c>
      <c r="P29" s="36"/>
      <c r="Q29" s="46">
        <f t="shared" si="2"/>
        <v>0</v>
      </c>
      <c r="R29" s="47">
        <f t="shared" si="3"/>
        <v>0</v>
      </c>
      <c r="S29" s="47">
        <f t="shared" si="4"/>
        <v>0</v>
      </c>
      <c r="T29" s="48">
        <f t="shared" si="5"/>
        <v>0</v>
      </c>
    </row>
    <row r="30" spans="2:20" s="40" customFormat="1" ht="20.25" customHeight="1">
      <c r="B30" s="59" t="s">
        <v>30</v>
      </c>
      <c r="C30" s="50">
        <v>122081</v>
      </c>
      <c r="D30" s="50">
        <v>123610</v>
      </c>
      <c r="E30" s="50">
        <v>137121</v>
      </c>
      <c r="F30" s="50">
        <v>141285</v>
      </c>
      <c r="G30" s="50">
        <v>196536</v>
      </c>
      <c r="H30" s="50">
        <v>189691</v>
      </c>
      <c r="I30" s="50">
        <v>213995</v>
      </c>
      <c r="J30" s="50">
        <v>218883</v>
      </c>
      <c r="K30" s="50">
        <v>188217</v>
      </c>
      <c r="L30" s="50">
        <v>226823</v>
      </c>
      <c r="M30" s="50">
        <v>102403</v>
      </c>
      <c r="N30" s="50">
        <v>161736</v>
      </c>
      <c r="O30" s="129">
        <f t="shared" si="1"/>
        <v>2022381</v>
      </c>
      <c r="P30" s="36"/>
      <c r="Q30" s="46">
        <f t="shared" si="2"/>
        <v>382812</v>
      </c>
      <c r="R30" s="47">
        <f t="shared" si="3"/>
        <v>527512</v>
      </c>
      <c r="S30" s="47">
        <f t="shared" si="4"/>
        <v>621095</v>
      </c>
      <c r="T30" s="48">
        <f t="shared" si="5"/>
        <v>490962</v>
      </c>
    </row>
    <row r="31" spans="2:20" s="40" customFormat="1" ht="20.25" customHeight="1">
      <c r="B31" s="58" t="s">
        <v>74</v>
      </c>
      <c r="C31" s="43">
        <f t="shared" ref="C31:N31" si="11">SUM(C32:C33)</f>
        <v>3400</v>
      </c>
      <c r="D31" s="43">
        <f t="shared" si="11"/>
        <v>1300</v>
      </c>
      <c r="E31" s="43">
        <f t="shared" si="11"/>
        <v>0</v>
      </c>
      <c r="F31" s="43">
        <f t="shared" si="11"/>
        <v>2000</v>
      </c>
      <c r="G31" s="43">
        <f t="shared" si="11"/>
        <v>2400</v>
      </c>
      <c r="H31" s="44">
        <f t="shared" si="11"/>
        <v>3580</v>
      </c>
      <c r="I31" s="44">
        <f t="shared" si="11"/>
        <v>2100</v>
      </c>
      <c r="J31" s="44">
        <f t="shared" si="11"/>
        <v>2900</v>
      </c>
      <c r="K31" s="44">
        <f t="shared" si="11"/>
        <v>3600</v>
      </c>
      <c r="L31" s="44">
        <f t="shared" si="11"/>
        <v>4700</v>
      </c>
      <c r="M31" s="44">
        <f t="shared" si="11"/>
        <v>1400</v>
      </c>
      <c r="N31" s="44">
        <f t="shared" si="11"/>
        <v>600</v>
      </c>
      <c r="O31" s="45">
        <f t="shared" si="1"/>
        <v>27980</v>
      </c>
      <c r="P31" s="36"/>
      <c r="Q31" s="46">
        <f t="shared" si="2"/>
        <v>4700</v>
      </c>
      <c r="R31" s="47">
        <f t="shared" si="3"/>
        <v>7980</v>
      </c>
      <c r="S31" s="47">
        <f t="shared" si="4"/>
        <v>8600</v>
      </c>
      <c r="T31" s="48">
        <f t="shared" si="5"/>
        <v>6700</v>
      </c>
    </row>
    <row r="32" spans="2:20" s="40" customFormat="1" ht="20.25" customHeight="1">
      <c r="B32" s="59" t="s">
        <v>31</v>
      </c>
      <c r="C32" s="50"/>
      <c r="D32" s="50"/>
      <c r="E32" s="50"/>
      <c r="F32" s="50"/>
      <c r="G32" s="50"/>
      <c r="H32" s="60"/>
      <c r="I32" s="60"/>
      <c r="J32" s="60"/>
      <c r="K32" s="60"/>
      <c r="L32" s="60"/>
      <c r="M32" s="60"/>
      <c r="N32" s="60"/>
      <c r="O32" s="45">
        <f t="shared" si="1"/>
        <v>0</v>
      </c>
      <c r="P32" s="36"/>
      <c r="Q32" s="46">
        <f t="shared" si="2"/>
        <v>0</v>
      </c>
      <c r="R32" s="47">
        <f t="shared" si="3"/>
        <v>0</v>
      </c>
      <c r="S32" s="47">
        <f t="shared" si="4"/>
        <v>0</v>
      </c>
      <c r="T32" s="48">
        <f t="shared" si="5"/>
        <v>0</v>
      </c>
    </row>
    <row r="33" spans="2:20" s="40" customFormat="1" ht="20.25" customHeight="1">
      <c r="B33" s="59" t="s">
        <v>32</v>
      </c>
      <c r="C33" s="50">
        <v>3400</v>
      </c>
      <c r="D33" s="50">
        <v>1300</v>
      </c>
      <c r="E33" s="50"/>
      <c r="F33" s="50">
        <v>2000</v>
      </c>
      <c r="G33" s="50">
        <v>2400</v>
      </c>
      <c r="H33" s="60">
        <v>3580</v>
      </c>
      <c r="I33" s="60">
        <v>2100</v>
      </c>
      <c r="J33" s="60">
        <v>2900</v>
      </c>
      <c r="K33" s="60">
        <v>3600</v>
      </c>
      <c r="L33" s="60">
        <v>4700</v>
      </c>
      <c r="M33" s="60">
        <v>1400</v>
      </c>
      <c r="N33" s="60">
        <v>600</v>
      </c>
      <c r="O33" s="129">
        <f t="shared" si="1"/>
        <v>27980</v>
      </c>
      <c r="P33" s="36"/>
      <c r="Q33" s="46">
        <f t="shared" si="2"/>
        <v>4700</v>
      </c>
      <c r="R33" s="47">
        <f t="shared" si="3"/>
        <v>7980</v>
      </c>
      <c r="S33" s="47">
        <f t="shared" si="4"/>
        <v>8600</v>
      </c>
      <c r="T33" s="48">
        <f t="shared" si="5"/>
        <v>6700</v>
      </c>
    </row>
    <row r="34" spans="2:20" s="40" customFormat="1" ht="20.25" customHeight="1">
      <c r="B34" s="61" t="s">
        <v>75</v>
      </c>
      <c r="C34" s="33">
        <f t="shared" ref="C34:N34" si="12">SUM(C35:C36)</f>
        <v>0</v>
      </c>
      <c r="D34" s="33">
        <f t="shared" si="12"/>
        <v>0</v>
      </c>
      <c r="E34" s="33">
        <f t="shared" si="12"/>
        <v>0</v>
      </c>
      <c r="F34" s="33">
        <f t="shared" si="12"/>
        <v>0</v>
      </c>
      <c r="G34" s="33">
        <f t="shared" si="12"/>
        <v>0</v>
      </c>
      <c r="H34" s="34">
        <f t="shared" si="12"/>
        <v>0</v>
      </c>
      <c r="I34" s="34">
        <f t="shared" si="12"/>
        <v>0</v>
      </c>
      <c r="J34" s="34">
        <f t="shared" si="12"/>
        <v>0</v>
      </c>
      <c r="K34" s="34">
        <f t="shared" si="12"/>
        <v>0</v>
      </c>
      <c r="L34" s="34">
        <f t="shared" si="12"/>
        <v>0</v>
      </c>
      <c r="M34" s="34">
        <f t="shared" si="12"/>
        <v>0</v>
      </c>
      <c r="N34" s="34">
        <f t="shared" si="12"/>
        <v>0</v>
      </c>
      <c r="O34" s="35">
        <f t="shared" si="1"/>
        <v>0</v>
      </c>
      <c r="P34" s="36"/>
      <c r="Q34" s="62">
        <f t="shared" si="2"/>
        <v>0</v>
      </c>
      <c r="R34" s="63">
        <f t="shared" si="3"/>
        <v>0</v>
      </c>
      <c r="S34" s="63">
        <f t="shared" si="4"/>
        <v>0</v>
      </c>
      <c r="T34" s="35">
        <f t="shared" si="5"/>
        <v>0</v>
      </c>
    </row>
    <row r="35" spans="2:20" s="40" customFormat="1" ht="20.25" customHeight="1">
      <c r="B35" s="59" t="s">
        <v>33</v>
      </c>
      <c r="C35" s="50"/>
      <c r="D35" s="50"/>
      <c r="E35" s="50"/>
      <c r="F35" s="50"/>
      <c r="G35" s="50"/>
      <c r="H35" s="60"/>
      <c r="I35" s="60"/>
      <c r="J35" s="60"/>
      <c r="K35" s="60"/>
      <c r="L35" s="60"/>
      <c r="M35" s="60"/>
      <c r="N35" s="60"/>
      <c r="O35" s="35">
        <f t="shared" si="1"/>
        <v>0</v>
      </c>
      <c r="P35" s="36"/>
      <c r="Q35" s="37">
        <f t="shared" si="2"/>
        <v>0</v>
      </c>
      <c r="R35" s="38">
        <f t="shared" si="3"/>
        <v>0</v>
      </c>
      <c r="S35" s="38">
        <f t="shared" si="4"/>
        <v>0</v>
      </c>
      <c r="T35" s="39">
        <f t="shared" si="5"/>
        <v>0</v>
      </c>
    </row>
    <row r="36" spans="2:20" s="40" customFormat="1" ht="20.25" customHeight="1">
      <c r="B36" s="59" t="s">
        <v>34</v>
      </c>
      <c r="C36" s="50"/>
      <c r="D36" s="50"/>
      <c r="E36" s="50"/>
      <c r="F36" s="50"/>
      <c r="G36" s="50"/>
      <c r="H36" s="60"/>
      <c r="I36" s="60"/>
      <c r="J36" s="60"/>
      <c r="K36" s="60"/>
      <c r="L36" s="60"/>
      <c r="M36" s="60"/>
      <c r="N36" s="60"/>
      <c r="O36" s="35">
        <f t="shared" si="1"/>
        <v>0</v>
      </c>
      <c r="P36" s="36"/>
      <c r="Q36" s="37">
        <f t="shared" si="2"/>
        <v>0</v>
      </c>
      <c r="R36" s="38">
        <f t="shared" si="3"/>
        <v>0</v>
      </c>
      <c r="S36" s="38">
        <f t="shared" si="4"/>
        <v>0</v>
      </c>
      <c r="T36" s="39">
        <f t="shared" si="5"/>
        <v>0</v>
      </c>
    </row>
    <row r="37" spans="2:20" s="40" customFormat="1" ht="20.25" customHeight="1">
      <c r="B37" s="58" t="s">
        <v>78</v>
      </c>
      <c r="C37" s="43">
        <f>SUM(C38:C44)</f>
        <v>266727.40000000002</v>
      </c>
      <c r="D37" s="43">
        <f t="shared" ref="D37:N37" si="13">SUM(D38:D44)</f>
        <v>1770070.5099999998</v>
      </c>
      <c r="E37" s="43">
        <f t="shared" si="13"/>
        <v>1094106.1299999999</v>
      </c>
      <c r="F37" s="43">
        <f t="shared" si="13"/>
        <v>977333.15999999992</v>
      </c>
      <c r="G37" s="43">
        <f t="shared" si="13"/>
        <v>2256059.83</v>
      </c>
      <c r="H37" s="43">
        <f t="shared" si="13"/>
        <v>202821.97</v>
      </c>
      <c r="I37" s="43">
        <f t="shared" si="13"/>
        <v>1160860.5899999999</v>
      </c>
      <c r="J37" s="43">
        <f t="shared" si="13"/>
        <v>2003596.5899999999</v>
      </c>
      <c r="K37" s="43">
        <f t="shared" si="13"/>
        <v>1412518.56</v>
      </c>
      <c r="L37" s="43">
        <f t="shared" si="13"/>
        <v>0</v>
      </c>
      <c r="M37" s="43">
        <f t="shared" si="13"/>
        <v>2016748.75</v>
      </c>
      <c r="N37" s="43">
        <f t="shared" si="13"/>
        <v>1407438.16</v>
      </c>
      <c r="O37" s="35">
        <f t="shared" si="1"/>
        <v>14568281.65</v>
      </c>
      <c r="P37" s="36"/>
      <c r="Q37" s="37">
        <f t="shared" si="2"/>
        <v>3130904.0399999996</v>
      </c>
      <c r="R37" s="38">
        <f t="shared" si="3"/>
        <v>3436214.9600000004</v>
      </c>
      <c r="S37" s="38">
        <f t="shared" si="4"/>
        <v>4576975.74</v>
      </c>
      <c r="T37" s="39">
        <f t="shared" si="5"/>
        <v>3424186.91</v>
      </c>
    </row>
    <row r="38" spans="2:20" s="40" customFormat="1" ht="20.25" customHeight="1">
      <c r="B38" s="49" t="s">
        <v>61</v>
      </c>
      <c r="C38" s="64"/>
      <c r="D38" s="64">
        <v>468170.61</v>
      </c>
      <c r="E38" s="64">
        <v>295132.43</v>
      </c>
      <c r="F38" s="64">
        <v>290986.48</v>
      </c>
      <c r="G38" s="64">
        <v>855471.38</v>
      </c>
      <c r="H38" s="64"/>
      <c r="I38" s="64">
        <v>444244.49</v>
      </c>
      <c r="J38" s="64">
        <v>779992.2</v>
      </c>
      <c r="K38" s="64">
        <v>655072.37</v>
      </c>
      <c r="L38" s="64"/>
      <c r="M38" s="64">
        <v>789397.11</v>
      </c>
      <c r="N38" s="64">
        <v>688095.23</v>
      </c>
      <c r="O38" s="131">
        <f t="shared" si="1"/>
        <v>5266562.3</v>
      </c>
      <c r="P38" s="36"/>
      <c r="Q38" s="37">
        <f t="shared" si="2"/>
        <v>763303.04</v>
      </c>
      <c r="R38" s="38">
        <f t="shared" si="3"/>
        <v>1146457.8599999999</v>
      </c>
      <c r="S38" s="38">
        <f t="shared" si="4"/>
        <v>1879309.06</v>
      </c>
      <c r="T38" s="39">
        <f t="shared" si="5"/>
        <v>1477492.3399999999</v>
      </c>
    </row>
    <row r="39" spans="2:20" s="40" customFormat="1" ht="20.25" customHeight="1">
      <c r="B39" s="49" t="s">
        <v>35</v>
      </c>
      <c r="C39" s="64"/>
      <c r="D39" s="64"/>
      <c r="E39" s="64">
        <v>12043.7</v>
      </c>
      <c r="F39" s="64"/>
      <c r="G39" s="64">
        <v>32867.480000000003</v>
      </c>
      <c r="H39" s="64"/>
      <c r="I39" s="64">
        <v>19204.259999999998</v>
      </c>
      <c r="J39" s="64"/>
      <c r="K39" s="64">
        <v>15363.57</v>
      </c>
      <c r="L39" s="64"/>
      <c r="M39" s="64">
        <v>15206</v>
      </c>
      <c r="N39" s="64">
        <v>10412.719999999999</v>
      </c>
      <c r="O39" s="131">
        <f t="shared" si="1"/>
        <v>105097.73000000001</v>
      </c>
      <c r="P39" s="36"/>
      <c r="Q39" s="37">
        <f t="shared" si="2"/>
        <v>12043.7</v>
      </c>
      <c r="R39" s="38">
        <f t="shared" si="3"/>
        <v>32867.480000000003</v>
      </c>
      <c r="S39" s="38">
        <f t="shared" si="4"/>
        <v>34567.83</v>
      </c>
      <c r="T39" s="39">
        <f t="shared" si="5"/>
        <v>25618.720000000001</v>
      </c>
    </row>
    <row r="40" spans="2:20" s="40" customFormat="1" ht="20.25" customHeight="1">
      <c r="B40" s="49" t="s">
        <v>36</v>
      </c>
      <c r="C40" s="64"/>
      <c r="D40" s="64">
        <v>1105575.48</v>
      </c>
      <c r="E40" s="64">
        <v>538119.49</v>
      </c>
      <c r="F40" s="64">
        <v>522236.68</v>
      </c>
      <c r="G40" s="64">
        <v>1078959.81</v>
      </c>
      <c r="H40" s="64"/>
      <c r="I40" s="64">
        <v>485676.86</v>
      </c>
      <c r="J40" s="64">
        <v>1133585.3899999999</v>
      </c>
      <c r="K40" s="64">
        <v>557683.76</v>
      </c>
      <c r="L40" s="64"/>
      <c r="M40" s="64">
        <v>1026319.14</v>
      </c>
      <c r="N40" s="64">
        <v>538510.30000000005</v>
      </c>
      <c r="O40" s="131">
        <f t="shared" si="1"/>
        <v>6986666.9100000001</v>
      </c>
      <c r="P40" s="36"/>
      <c r="Q40" s="37">
        <f t="shared" si="2"/>
        <v>1643694.97</v>
      </c>
      <c r="R40" s="38">
        <f t="shared" si="3"/>
        <v>1601196.49</v>
      </c>
      <c r="S40" s="38">
        <f t="shared" si="4"/>
        <v>2176946.0099999998</v>
      </c>
      <c r="T40" s="39">
        <f t="shared" si="5"/>
        <v>1564829.44</v>
      </c>
    </row>
    <row r="41" spans="2:20" s="40" customFormat="1" ht="20.25" customHeight="1">
      <c r="B41" s="49" t="s">
        <v>37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5">
        <f t="shared" si="1"/>
        <v>0</v>
      </c>
      <c r="P41" s="36"/>
      <c r="Q41" s="37">
        <f t="shared" si="2"/>
        <v>0</v>
      </c>
      <c r="R41" s="38">
        <f t="shared" si="3"/>
        <v>0</v>
      </c>
      <c r="S41" s="38">
        <f t="shared" si="4"/>
        <v>0</v>
      </c>
      <c r="T41" s="39">
        <f t="shared" si="5"/>
        <v>0</v>
      </c>
    </row>
    <row r="42" spans="2:20" s="40" customFormat="1" ht="20.25" customHeight="1">
      <c r="B42" s="51" t="s">
        <v>38</v>
      </c>
      <c r="C42" s="65">
        <v>54139.4</v>
      </c>
      <c r="D42" s="65">
        <v>42667.42</v>
      </c>
      <c r="E42" s="65">
        <v>37643.51</v>
      </c>
      <c r="F42" s="65"/>
      <c r="G42" s="65">
        <v>34396.160000000003</v>
      </c>
      <c r="H42" s="65">
        <v>94084.97</v>
      </c>
      <c r="I42" s="65">
        <v>41596.980000000003</v>
      </c>
      <c r="J42" s="65"/>
      <c r="K42" s="65">
        <v>89424.86</v>
      </c>
      <c r="L42" s="65"/>
      <c r="M42" s="65">
        <v>38930.5</v>
      </c>
      <c r="N42" s="65"/>
      <c r="O42" s="132">
        <f t="shared" si="1"/>
        <v>432883.80000000005</v>
      </c>
      <c r="P42" s="54"/>
      <c r="Q42" s="67">
        <f t="shared" si="2"/>
        <v>134450.33000000002</v>
      </c>
      <c r="R42" s="68">
        <f t="shared" si="3"/>
        <v>128481.13</v>
      </c>
      <c r="S42" s="68">
        <f t="shared" si="4"/>
        <v>131021.84</v>
      </c>
      <c r="T42" s="69">
        <f t="shared" si="5"/>
        <v>38930.5</v>
      </c>
    </row>
    <row r="43" spans="2:20" s="40" customFormat="1" ht="20.25" customHeight="1">
      <c r="B43" s="49" t="s">
        <v>39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35">
        <f t="shared" si="1"/>
        <v>0</v>
      </c>
      <c r="P43" s="70"/>
      <c r="Q43" s="37">
        <f t="shared" si="2"/>
        <v>0</v>
      </c>
      <c r="R43" s="38">
        <f t="shared" si="3"/>
        <v>0</v>
      </c>
      <c r="S43" s="38">
        <f t="shared" si="4"/>
        <v>0</v>
      </c>
      <c r="T43" s="39">
        <f t="shared" si="5"/>
        <v>0</v>
      </c>
    </row>
    <row r="44" spans="2:20" s="40" customFormat="1" ht="20.25" customHeight="1">
      <c r="B44" s="49" t="s">
        <v>62</v>
      </c>
      <c r="C44" s="64">
        <v>212588</v>
      </c>
      <c r="D44" s="64">
        <f>139087+14570</f>
        <v>153657</v>
      </c>
      <c r="E44" s="64">
        <f>192657+510+18000</f>
        <v>211167</v>
      </c>
      <c r="F44" s="64">
        <v>164110</v>
      </c>
      <c r="G44" s="64">
        <v>254365</v>
      </c>
      <c r="H44" s="64">
        <v>108737</v>
      </c>
      <c r="I44" s="64">
        <v>170138</v>
      </c>
      <c r="J44" s="64">
        <f>85979+4040</f>
        <v>90019</v>
      </c>
      <c r="K44" s="64">
        <v>94974</v>
      </c>
      <c r="L44" s="64"/>
      <c r="M44" s="64">
        <v>146896</v>
      </c>
      <c r="N44" s="64">
        <f>85646.91+83773+1000</f>
        <v>170419.91</v>
      </c>
      <c r="O44" s="131">
        <f t="shared" si="1"/>
        <v>1777070.9100000001</v>
      </c>
      <c r="P44" s="70"/>
      <c r="Q44" s="37">
        <f t="shared" si="2"/>
        <v>577412</v>
      </c>
      <c r="R44" s="38">
        <f t="shared" si="3"/>
        <v>527212</v>
      </c>
      <c r="S44" s="38">
        <f t="shared" si="4"/>
        <v>355131</v>
      </c>
      <c r="T44" s="39">
        <f t="shared" si="5"/>
        <v>317315.91000000003</v>
      </c>
    </row>
    <row r="45" spans="2:20" s="40" customFormat="1" ht="20.25" customHeight="1">
      <c r="B45" s="42" t="s">
        <v>79</v>
      </c>
      <c r="C45" s="43">
        <f>SUM(C46:C49)</f>
        <v>973278.78</v>
      </c>
      <c r="D45" s="43">
        <f t="shared" ref="D45:M45" si="14">SUM(D46:D49)</f>
        <v>1059363.83</v>
      </c>
      <c r="E45" s="43">
        <f t="shared" si="14"/>
        <v>923982.81</v>
      </c>
      <c r="F45" s="43">
        <f t="shared" si="14"/>
        <v>0</v>
      </c>
      <c r="G45" s="43">
        <f t="shared" si="14"/>
        <v>1035187.0299999999</v>
      </c>
      <c r="H45" s="43">
        <f t="shared" si="14"/>
        <v>2022038.9600000002</v>
      </c>
      <c r="I45" s="43">
        <f t="shared" si="14"/>
        <v>1099903.9099999999</v>
      </c>
      <c r="J45" s="43">
        <f t="shared" si="14"/>
        <v>1014560.63</v>
      </c>
      <c r="K45" s="43">
        <f t="shared" si="14"/>
        <v>1059007.3</v>
      </c>
      <c r="L45" s="43">
        <f t="shared" si="14"/>
        <v>0</v>
      </c>
      <c r="M45" s="43">
        <f t="shared" si="14"/>
        <v>1243491.8099999998</v>
      </c>
      <c r="N45" s="43">
        <f>SUM(N46:N49)</f>
        <v>2189396.67</v>
      </c>
      <c r="O45" s="35">
        <f t="shared" si="1"/>
        <v>12620211.73</v>
      </c>
      <c r="P45" s="70"/>
      <c r="Q45" s="37">
        <f t="shared" si="2"/>
        <v>2956625.42</v>
      </c>
      <c r="R45" s="38">
        <f t="shared" si="3"/>
        <v>3057225.99</v>
      </c>
      <c r="S45" s="38">
        <f t="shared" si="4"/>
        <v>3173471.84</v>
      </c>
      <c r="T45" s="39">
        <f t="shared" si="5"/>
        <v>3432888.4799999995</v>
      </c>
    </row>
    <row r="46" spans="2:20" s="40" customFormat="1" ht="20.25" customHeight="1">
      <c r="B46" s="51" t="s">
        <v>85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6">
        <f t="shared" si="1"/>
        <v>0</v>
      </c>
      <c r="P46" s="54"/>
      <c r="Q46" s="67">
        <f t="shared" si="2"/>
        <v>0</v>
      </c>
      <c r="R46" s="68">
        <f t="shared" si="3"/>
        <v>0</v>
      </c>
      <c r="S46" s="68">
        <f t="shared" si="4"/>
        <v>0</v>
      </c>
      <c r="T46" s="69">
        <f t="shared" si="5"/>
        <v>0</v>
      </c>
    </row>
    <row r="47" spans="2:20" s="40" customFormat="1" ht="20.25" customHeight="1">
      <c r="B47" s="49" t="s">
        <v>86</v>
      </c>
      <c r="C47" s="64">
        <v>973278.78</v>
      </c>
      <c r="D47" s="64">
        <v>1044095.14</v>
      </c>
      <c r="E47" s="50">
        <v>909442.38</v>
      </c>
      <c r="F47" s="64"/>
      <c r="G47" s="64">
        <v>1018157.09</v>
      </c>
      <c r="H47" s="64">
        <v>2007462.12</v>
      </c>
      <c r="I47" s="64">
        <v>1099903.9099999999</v>
      </c>
      <c r="J47" s="64">
        <v>997744.77</v>
      </c>
      <c r="K47" s="64">
        <v>1045712.57</v>
      </c>
      <c r="L47" s="64"/>
      <c r="M47" s="64">
        <v>1225779.3799999999</v>
      </c>
      <c r="N47" s="64">
        <v>2172921.83</v>
      </c>
      <c r="O47" s="131">
        <f t="shared" si="1"/>
        <v>12494497.969999999</v>
      </c>
      <c r="P47" s="36"/>
      <c r="Q47" s="37">
        <f t="shared" si="2"/>
        <v>2926816.3</v>
      </c>
      <c r="R47" s="38">
        <f t="shared" si="3"/>
        <v>3025619.21</v>
      </c>
      <c r="S47" s="38">
        <f t="shared" si="4"/>
        <v>3143361.2499999995</v>
      </c>
      <c r="T47" s="39">
        <f t="shared" si="5"/>
        <v>3398701.21</v>
      </c>
    </row>
    <row r="48" spans="2:20" s="40" customFormat="1" ht="20.25" customHeight="1">
      <c r="B48" s="49" t="s">
        <v>63</v>
      </c>
      <c r="C48" s="64"/>
      <c r="D48" s="64"/>
      <c r="E48" s="64">
        <v>14540.43</v>
      </c>
      <c r="F48" s="64"/>
      <c r="G48" s="64"/>
      <c r="H48" s="64">
        <v>14576.84</v>
      </c>
      <c r="I48" s="64"/>
      <c r="J48" s="64"/>
      <c r="K48" s="64">
        <v>13294.73</v>
      </c>
      <c r="L48" s="64"/>
      <c r="M48" s="64"/>
      <c r="N48" s="64">
        <v>16474.84</v>
      </c>
      <c r="O48" s="131">
        <f t="shared" si="1"/>
        <v>58886.84</v>
      </c>
      <c r="P48" s="36"/>
      <c r="Q48" s="37">
        <f t="shared" si="2"/>
        <v>14540.43</v>
      </c>
      <c r="R48" s="38">
        <f t="shared" si="3"/>
        <v>14576.84</v>
      </c>
      <c r="S48" s="38">
        <f t="shared" si="4"/>
        <v>13294.73</v>
      </c>
      <c r="T48" s="39">
        <f t="shared" si="5"/>
        <v>16474.84</v>
      </c>
    </row>
    <row r="49" spans="2:20" s="40" customFormat="1" ht="20.25" customHeight="1">
      <c r="B49" s="49" t="s">
        <v>76</v>
      </c>
      <c r="C49" s="64"/>
      <c r="D49" s="64">
        <v>15268.69</v>
      </c>
      <c r="E49" s="64"/>
      <c r="F49" s="64"/>
      <c r="G49" s="64">
        <v>17029.939999999999</v>
      </c>
      <c r="H49" s="64"/>
      <c r="I49" s="64"/>
      <c r="J49" s="64">
        <v>16815.86</v>
      </c>
      <c r="K49" s="64"/>
      <c r="L49" s="64"/>
      <c r="M49" s="64">
        <v>17712.43</v>
      </c>
      <c r="N49" s="64"/>
      <c r="O49" s="131">
        <f t="shared" si="1"/>
        <v>66826.92</v>
      </c>
      <c r="P49" s="36"/>
      <c r="Q49" s="37">
        <f t="shared" si="2"/>
        <v>15268.69</v>
      </c>
      <c r="R49" s="38">
        <f t="shared" si="3"/>
        <v>17029.939999999999</v>
      </c>
      <c r="S49" s="38">
        <f t="shared" si="4"/>
        <v>16815.86</v>
      </c>
      <c r="T49" s="39">
        <f t="shared" si="5"/>
        <v>17712.43</v>
      </c>
    </row>
    <row r="50" spans="2:20" s="40" customFormat="1" ht="20.25" customHeight="1">
      <c r="B50" s="42" t="s">
        <v>64</v>
      </c>
      <c r="C50" s="71">
        <f>SUM(C51:C52)</f>
        <v>2815555</v>
      </c>
      <c r="D50" s="71">
        <f t="shared" ref="D50:N50" si="15">SUM(D51:D52)</f>
        <v>1492400</v>
      </c>
      <c r="E50" s="71">
        <f t="shared" si="15"/>
        <v>3997572</v>
      </c>
      <c r="F50" s="71">
        <f t="shared" si="15"/>
        <v>2100123</v>
      </c>
      <c r="G50" s="71">
        <f t="shared" si="15"/>
        <v>1255700</v>
      </c>
      <c r="H50" s="72">
        <f t="shared" si="15"/>
        <v>1866240</v>
      </c>
      <c r="I50" s="72">
        <f t="shared" si="15"/>
        <v>1498049</v>
      </c>
      <c r="J50" s="72">
        <f t="shared" si="15"/>
        <v>4355392</v>
      </c>
      <c r="K50" s="72">
        <f t="shared" si="15"/>
        <v>1352000</v>
      </c>
      <c r="L50" s="72">
        <f t="shared" si="15"/>
        <v>9500</v>
      </c>
      <c r="M50" s="72">
        <f t="shared" si="15"/>
        <v>3302960</v>
      </c>
      <c r="N50" s="72">
        <f t="shared" si="15"/>
        <v>22343924</v>
      </c>
      <c r="O50" s="35">
        <f t="shared" si="1"/>
        <v>46389415</v>
      </c>
      <c r="P50" s="36"/>
      <c r="Q50" s="37">
        <f t="shared" si="2"/>
        <v>8305527</v>
      </c>
      <c r="R50" s="38">
        <f t="shared" si="3"/>
        <v>5222063</v>
      </c>
      <c r="S50" s="38">
        <f t="shared" si="4"/>
        <v>7205441</v>
      </c>
      <c r="T50" s="39">
        <f t="shared" si="5"/>
        <v>25656384</v>
      </c>
    </row>
    <row r="51" spans="2:20" s="40" customFormat="1" ht="20.25" customHeight="1">
      <c r="B51" s="49" t="s">
        <v>65</v>
      </c>
      <c r="C51" s="50">
        <v>1809555</v>
      </c>
      <c r="D51" s="50">
        <v>1482400</v>
      </c>
      <c r="E51" s="50">
        <v>3987572</v>
      </c>
      <c r="F51" s="50">
        <v>2080623</v>
      </c>
      <c r="G51" s="50">
        <v>1236200</v>
      </c>
      <c r="H51" s="60">
        <v>1846740</v>
      </c>
      <c r="I51" s="60">
        <v>1488549</v>
      </c>
      <c r="J51" s="60">
        <v>4325892</v>
      </c>
      <c r="K51" s="60">
        <v>1332500</v>
      </c>
      <c r="L51" s="60"/>
      <c r="M51" s="60">
        <v>3243460</v>
      </c>
      <c r="N51" s="60">
        <v>1592400</v>
      </c>
      <c r="O51" s="35">
        <f t="shared" si="1"/>
        <v>24425891</v>
      </c>
      <c r="P51" s="36"/>
      <c r="Q51" s="37">
        <f t="shared" si="2"/>
        <v>7279527</v>
      </c>
      <c r="R51" s="38">
        <f t="shared" si="3"/>
        <v>5163563</v>
      </c>
      <c r="S51" s="38">
        <f t="shared" si="4"/>
        <v>7146941</v>
      </c>
      <c r="T51" s="39">
        <f t="shared" si="5"/>
        <v>4835860</v>
      </c>
    </row>
    <row r="52" spans="2:20" s="40" customFormat="1" ht="20.25" customHeight="1">
      <c r="B52" s="49" t="s">
        <v>66</v>
      </c>
      <c r="C52" s="50">
        <f>10000+996000</f>
        <v>1006000</v>
      </c>
      <c r="D52" s="50">
        <v>10000</v>
      </c>
      <c r="E52" s="50">
        <f>10000</f>
        <v>10000</v>
      </c>
      <c r="F52" s="50">
        <f>10000+9500</f>
        <v>19500</v>
      </c>
      <c r="G52" s="50">
        <f>10000+9500</f>
        <v>19500</v>
      </c>
      <c r="H52" s="60">
        <f>10000+9500</f>
        <v>19500</v>
      </c>
      <c r="I52" s="60">
        <v>9500</v>
      </c>
      <c r="J52" s="60">
        <f>20000+9500</f>
        <v>29500</v>
      </c>
      <c r="K52" s="60">
        <f>10000+9500</f>
        <v>19500</v>
      </c>
      <c r="L52" s="60">
        <v>9500</v>
      </c>
      <c r="M52" s="60">
        <f>20000+39500</f>
        <v>59500</v>
      </c>
      <c r="N52" s="60">
        <f>10000+9153000+24000+11564524</f>
        <v>20751524</v>
      </c>
      <c r="O52" s="35">
        <f t="shared" si="1"/>
        <v>21963524</v>
      </c>
      <c r="P52" s="36"/>
      <c r="Q52" s="37">
        <f t="shared" si="2"/>
        <v>1026000</v>
      </c>
      <c r="R52" s="38">
        <f t="shared" si="3"/>
        <v>58500</v>
      </c>
      <c r="S52" s="38">
        <f t="shared" si="4"/>
        <v>58500</v>
      </c>
      <c r="T52" s="39">
        <f t="shared" si="5"/>
        <v>20820524</v>
      </c>
    </row>
    <row r="53" spans="2:20" s="40" customFormat="1" ht="20.25" customHeight="1">
      <c r="B53" s="73" t="s">
        <v>67</v>
      </c>
      <c r="C53" s="74">
        <f>C6+C37+C45+C50</f>
        <v>4210735.1400000006</v>
      </c>
      <c r="D53" s="74">
        <f t="shared" ref="D53:N53" si="16">D6+D37+D45+D50</f>
        <v>4635451.88</v>
      </c>
      <c r="E53" s="74">
        <f t="shared" si="16"/>
        <v>6195830.8599999994</v>
      </c>
      <c r="F53" s="74">
        <f t="shared" si="16"/>
        <v>3311032.09</v>
      </c>
      <c r="G53" s="74">
        <f t="shared" si="16"/>
        <v>4806408.8100000005</v>
      </c>
      <c r="H53" s="75">
        <f t="shared" si="16"/>
        <v>4457363.49</v>
      </c>
      <c r="I53" s="75">
        <f>I6+I37+I45+I50</f>
        <v>4202934.46</v>
      </c>
      <c r="J53" s="75">
        <f>J6+J37+J45+J50</f>
        <v>7738487.5499999998</v>
      </c>
      <c r="K53" s="75">
        <f>K6+K37+K45+K50</f>
        <v>5137401.46</v>
      </c>
      <c r="L53" s="75">
        <f t="shared" si="16"/>
        <v>546675.78</v>
      </c>
      <c r="M53" s="75">
        <f t="shared" si="16"/>
        <v>6907885.3199999994</v>
      </c>
      <c r="N53" s="75">
        <f t="shared" si="16"/>
        <v>26152930.199999999</v>
      </c>
      <c r="O53" s="76">
        <f>Q53+R53+S53+T53</f>
        <v>78303137.039999992</v>
      </c>
      <c r="P53" s="77"/>
      <c r="Q53" s="78">
        <f t="shared" si="2"/>
        <v>15042017.879999999</v>
      </c>
      <c r="R53" s="79">
        <f t="shared" si="3"/>
        <v>12574804.390000001</v>
      </c>
      <c r="S53" s="79">
        <f t="shared" si="4"/>
        <v>17078823.469999999</v>
      </c>
      <c r="T53" s="80">
        <f t="shared" si="5"/>
        <v>33607491.299999997</v>
      </c>
    </row>
    <row r="54" spans="2:20" s="40" customFormat="1" ht="20.25" customHeight="1">
      <c r="B54" s="81" t="s">
        <v>68</v>
      </c>
      <c r="C54" s="82"/>
      <c r="D54" s="82"/>
      <c r="E54" s="82"/>
      <c r="F54" s="82"/>
      <c r="G54" s="82"/>
      <c r="H54" s="83"/>
      <c r="I54" s="83"/>
      <c r="J54" s="83"/>
      <c r="K54" s="83"/>
      <c r="L54" s="83"/>
      <c r="M54" s="83"/>
      <c r="N54" s="83"/>
      <c r="O54" s="35">
        <f t="shared" si="1"/>
        <v>0</v>
      </c>
      <c r="P54" s="36"/>
      <c r="Q54" s="37">
        <f t="shared" si="2"/>
        <v>0</v>
      </c>
      <c r="R54" s="38">
        <f t="shared" si="3"/>
        <v>0</v>
      </c>
      <c r="S54" s="38">
        <f t="shared" si="4"/>
        <v>0</v>
      </c>
      <c r="T54" s="39">
        <f t="shared" si="5"/>
        <v>0</v>
      </c>
    </row>
    <row r="55" spans="2:20" s="40" customFormat="1" ht="20.25" customHeight="1">
      <c r="B55" s="58" t="s">
        <v>40</v>
      </c>
      <c r="C55" s="71">
        <f t="shared" ref="C55:N55" si="17">SUM(C56:C57)</f>
        <v>0</v>
      </c>
      <c r="D55" s="71">
        <f t="shared" si="17"/>
        <v>0</v>
      </c>
      <c r="E55" s="71">
        <f t="shared" si="17"/>
        <v>0</v>
      </c>
      <c r="F55" s="71">
        <f t="shared" si="17"/>
        <v>0</v>
      </c>
      <c r="G55" s="71">
        <f t="shared" si="17"/>
        <v>0</v>
      </c>
      <c r="H55" s="72">
        <f t="shared" si="17"/>
        <v>0</v>
      </c>
      <c r="I55" s="72">
        <f t="shared" si="17"/>
        <v>0</v>
      </c>
      <c r="J55" s="72">
        <f t="shared" si="17"/>
        <v>0</v>
      </c>
      <c r="K55" s="72">
        <f t="shared" si="17"/>
        <v>0</v>
      </c>
      <c r="L55" s="72">
        <f t="shared" si="17"/>
        <v>0</v>
      </c>
      <c r="M55" s="72">
        <f t="shared" si="17"/>
        <v>0</v>
      </c>
      <c r="N55" s="72">
        <f t="shared" si="17"/>
        <v>0</v>
      </c>
      <c r="O55" s="35">
        <f t="shared" si="1"/>
        <v>0</v>
      </c>
      <c r="P55" s="36"/>
      <c r="Q55" s="37">
        <f t="shared" si="2"/>
        <v>0</v>
      </c>
      <c r="R55" s="38">
        <f t="shared" si="3"/>
        <v>0</v>
      </c>
      <c r="S55" s="38">
        <f t="shared" si="4"/>
        <v>0</v>
      </c>
      <c r="T55" s="39">
        <f t="shared" si="5"/>
        <v>0</v>
      </c>
    </row>
    <row r="56" spans="2:20" s="40" customFormat="1" ht="20.25" customHeight="1">
      <c r="B56" s="59" t="s">
        <v>80</v>
      </c>
      <c r="C56" s="50"/>
      <c r="D56" s="50"/>
      <c r="E56" s="50"/>
      <c r="F56" s="50"/>
      <c r="G56" s="50"/>
      <c r="H56" s="60"/>
      <c r="I56" s="60"/>
      <c r="J56" s="60"/>
      <c r="K56" s="60"/>
      <c r="L56" s="60"/>
      <c r="M56" s="60"/>
      <c r="N56" s="60"/>
      <c r="O56" s="35">
        <f t="shared" si="1"/>
        <v>0</v>
      </c>
      <c r="P56" s="36"/>
      <c r="Q56" s="37">
        <f t="shared" si="2"/>
        <v>0</v>
      </c>
      <c r="R56" s="38">
        <f t="shared" si="3"/>
        <v>0</v>
      </c>
      <c r="S56" s="38">
        <f t="shared" si="4"/>
        <v>0</v>
      </c>
      <c r="T56" s="39">
        <f t="shared" si="5"/>
        <v>0</v>
      </c>
    </row>
    <row r="57" spans="2:20" s="40" customFormat="1" ht="20.25" customHeight="1">
      <c r="B57" s="59" t="s">
        <v>92</v>
      </c>
      <c r="C57" s="50"/>
      <c r="D57" s="50"/>
      <c r="E57" s="50"/>
      <c r="F57" s="50"/>
      <c r="G57" s="50"/>
      <c r="H57" s="60"/>
      <c r="I57" s="60"/>
      <c r="J57" s="60"/>
      <c r="K57" s="60"/>
      <c r="L57" s="60"/>
      <c r="M57" s="60"/>
      <c r="N57" s="60"/>
      <c r="O57" s="35">
        <f t="shared" si="1"/>
        <v>0</v>
      </c>
      <c r="P57" s="36"/>
      <c r="Q57" s="37">
        <f t="shared" si="2"/>
        <v>0</v>
      </c>
      <c r="R57" s="38">
        <f t="shared" si="3"/>
        <v>0</v>
      </c>
      <c r="S57" s="38">
        <f t="shared" si="4"/>
        <v>0</v>
      </c>
      <c r="T57" s="39">
        <f t="shared" si="5"/>
        <v>0</v>
      </c>
    </row>
    <row r="58" spans="2:20" s="40" customFormat="1" ht="20.25" customHeight="1">
      <c r="B58" s="84" t="s">
        <v>41</v>
      </c>
      <c r="C58" s="50"/>
      <c r="D58" s="50"/>
      <c r="E58" s="50"/>
      <c r="F58" s="50"/>
      <c r="G58" s="50"/>
      <c r="H58" s="60"/>
      <c r="I58" s="60"/>
      <c r="J58" s="60"/>
      <c r="K58" s="60"/>
      <c r="L58" s="60"/>
      <c r="M58" s="60"/>
      <c r="N58" s="60"/>
      <c r="O58" s="35">
        <f t="shared" si="1"/>
        <v>0</v>
      </c>
      <c r="P58" s="36"/>
      <c r="Q58" s="37">
        <f t="shared" si="2"/>
        <v>0</v>
      </c>
      <c r="R58" s="38">
        <f t="shared" si="3"/>
        <v>0</v>
      </c>
      <c r="S58" s="38">
        <f t="shared" si="4"/>
        <v>0</v>
      </c>
      <c r="T58" s="39">
        <f t="shared" si="5"/>
        <v>0</v>
      </c>
    </row>
    <row r="59" spans="2:20" s="40" customFormat="1" ht="20.25" customHeight="1" thickBot="1">
      <c r="B59" s="85" t="s">
        <v>77</v>
      </c>
      <c r="C59" s="86">
        <f t="shared" ref="C59:N59" si="18">C53+C54+C55+C58</f>
        <v>4210735.1400000006</v>
      </c>
      <c r="D59" s="86">
        <f t="shared" si="18"/>
        <v>4635451.88</v>
      </c>
      <c r="E59" s="86">
        <f t="shared" si="18"/>
        <v>6195830.8599999994</v>
      </c>
      <c r="F59" s="86">
        <f t="shared" si="18"/>
        <v>3311032.09</v>
      </c>
      <c r="G59" s="86">
        <f t="shared" si="18"/>
        <v>4806408.8100000005</v>
      </c>
      <c r="H59" s="87">
        <f t="shared" si="18"/>
        <v>4457363.49</v>
      </c>
      <c r="I59" s="87">
        <f t="shared" si="18"/>
        <v>4202934.46</v>
      </c>
      <c r="J59" s="87">
        <f t="shared" si="18"/>
        <v>7738487.5499999998</v>
      </c>
      <c r="K59" s="87">
        <f t="shared" si="18"/>
        <v>5137401.46</v>
      </c>
      <c r="L59" s="87">
        <f t="shared" si="18"/>
        <v>546675.78</v>
      </c>
      <c r="M59" s="87">
        <f t="shared" si="18"/>
        <v>6907885.3199999994</v>
      </c>
      <c r="N59" s="87">
        <f t="shared" si="18"/>
        <v>26152930.199999999</v>
      </c>
      <c r="O59" s="88">
        <f t="shared" si="1"/>
        <v>78303137.039999992</v>
      </c>
      <c r="P59" s="89"/>
      <c r="Q59" s="90">
        <f t="shared" si="2"/>
        <v>15042017.879999999</v>
      </c>
      <c r="R59" s="91">
        <f t="shared" si="3"/>
        <v>12574804.390000001</v>
      </c>
      <c r="S59" s="91">
        <f t="shared" si="4"/>
        <v>17078823.469999999</v>
      </c>
      <c r="T59" s="92">
        <f t="shared" si="5"/>
        <v>33607491.299999997</v>
      </c>
    </row>
    <row r="60" spans="2:20" s="97" customFormat="1" ht="18" customHeight="1">
      <c r="B60" s="162" t="s">
        <v>111</v>
      </c>
      <c r="C60" s="156" t="s">
        <v>115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8"/>
      <c r="P60" s="93"/>
      <c r="Q60" s="94"/>
      <c r="R60" s="95"/>
      <c r="S60" s="95"/>
      <c r="T60" s="96"/>
    </row>
    <row r="61" spans="2:20" s="97" customFormat="1" ht="18" customHeight="1" thickBot="1">
      <c r="B61" s="163"/>
      <c r="C61" s="98" t="s">
        <v>1</v>
      </c>
      <c r="D61" s="98" t="s">
        <v>2</v>
      </c>
      <c r="E61" s="98" t="s">
        <v>3</v>
      </c>
      <c r="F61" s="98" t="s">
        <v>4</v>
      </c>
      <c r="G61" s="98" t="s">
        <v>5</v>
      </c>
      <c r="H61" s="99" t="s">
        <v>6</v>
      </c>
      <c r="I61" s="99" t="s">
        <v>7</v>
      </c>
      <c r="J61" s="99" t="s">
        <v>8</v>
      </c>
      <c r="K61" s="99" t="s">
        <v>9</v>
      </c>
      <c r="L61" s="99" t="s">
        <v>10</v>
      </c>
      <c r="M61" s="99" t="s">
        <v>11</v>
      </c>
      <c r="N61" s="99" t="s">
        <v>12</v>
      </c>
      <c r="O61" s="100" t="s">
        <v>13</v>
      </c>
      <c r="P61" s="101"/>
      <c r="Q61" s="102" t="s">
        <v>14</v>
      </c>
      <c r="R61" s="99" t="s">
        <v>15</v>
      </c>
      <c r="S61" s="99" t="s">
        <v>16</v>
      </c>
      <c r="T61" s="100" t="s">
        <v>17</v>
      </c>
    </row>
    <row r="62" spans="2:20" s="40" customFormat="1" ht="19.8">
      <c r="B62" s="32" t="s">
        <v>42</v>
      </c>
      <c r="C62" s="103">
        <f>C63+C66+C67+C68+C69</f>
        <v>1237145.8</v>
      </c>
      <c r="D62" s="103">
        <f t="shared" ref="D62:N62" si="19">D63+D66+D67+D68+D69</f>
        <v>1273822.8</v>
      </c>
      <c r="E62" s="103">
        <f t="shared" si="19"/>
        <v>1796229.2</v>
      </c>
      <c r="F62" s="103">
        <f t="shared" si="19"/>
        <v>1489623.8</v>
      </c>
      <c r="G62" s="103">
        <f t="shared" si="19"/>
        <v>1295850.8</v>
      </c>
      <c r="H62" s="104">
        <f t="shared" si="19"/>
        <v>1295550.8</v>
      </c>
      <c r="I62" s="104">
        <f t="shared" si="19"/>
        <v>1295950.8</v>
      </c>
      <c r="J62" s="104">
        <f t="shared" si="19"/>
        <v>1299750.8</v>
      </c>
      <c r="K62" s="104">
        <f t="shared" si="19"/>
        <v>1309850.8</v>
      </c>
      <c r="L62" s="104">
        <f>L63+L66+L67+L68+L69</f>
        <v>102050.8</v>
      </c>
      <c r="M62" s="104">
        <f t="shared" si="19"/>
        <v>2535550.7999999998</v>
      </c>
      <c r="N62" s="104">
        <f t="shared" si="19"/>
        <v>1334055.8</v>
      </c>
      <c r="O62" s="35">
        <f>Q62+R62+S62+T62</f>
        <v>16265433</v>
      </c>
      <c r="P62" s="36"/>
      <c r="Q62" s="105">
        <f t="shared" ref="Q62:Q95" si="20">SUM(C62:E62)</f>
        <v>4307197.8</v>
      </c>
      <c r="R62" s="106">
        <f t="shared" ref="R62:R95" si="21">SUM(F62:H62)</f>
        <v>4081025.4000000004</v>
      </c>
      <c r="S62" s="106">
        <f t="shared" ref="S62:S95" si="22">SUM(I62:K62)</f>
        <v>3905552.4000000004</v>
      </c>
      <c r="T62" s="107">
        <f t="shared" ref="T62:T95" si="23">SUM(L62:N62)</f>
        <v>3971657.3999999994</v>
      </c>
    </row>
    <row r="63" spans="2:20" s="40" customFormat="1" ht="19.8">
      <c r="B63" s="108" t="s">
        <v>43</v>
      </c>
      <c r="C63" s="109">
        <f t="shared" ref="C63:N63" si="24">C64+C65</f>
        <v>0</v>
      </c>
      <c r="D63" s="109">
        <f t="shared" si="24"/>
        <v>0</v>
      </c>
      <c r="E63" s="109">
        <f t="shared" si="24"/>
        <v>0</v>
      </c>
      <c r="F63" s="109">
        <f t="shared" si="24"/>
        <v>0</v>
      </c>
      <c r="G63" s="109">
        <f t="shared" si="24"/>
        <v>0</v>
      </c>
      <c r="H63" s="110">
        <f t="shared" si="24"/>
        <v>0</v>
      </c>
      <c r="I63" s="110">
        <f t="shared" si="24"/>
        <v>0</v>
      </c>
      <c r="J63" s="110">
        <f t="shared" si="24"/>
        <v>0</v>
      </c>
      <c r="K63" s="110">
        <f t="shared" si="24"/>
        <v>0</v>
      </c>
      <c r="L63" s="110">
        <f t="shared" si="24"/>
        <v>0</v>
      </c>
      <c r="M63" s="110">
        <f t="shared" si="24"/>
        <v>0</v>
      </c>
      <c r="N63" s="110">
        <f t="shared" si="24"/>
        <v>0</v>
      </c>
      <c r="O63" s="45">
        <f t="shared" ref="O63:O95" si="25">Q63+R63+S63+T63</f>
        <v>0</v>
      </c>
      <c r="P63" s="36"/>
      <c r="Q63" s="111">
        <f t="shared" si="20"/>
        <v>0</v>
      </c>
      <c r="R63" s="112">
        <f t="shared" si="21"/>
        <v>0</v>
      </c>
      <c r="S63" s="112">
        <f t="shared" si="22"/>
        <v>0</v>
      </c>
      <c r="T63" s="113">
        <f t="shared" si="23"/>
        <v>0</v>
      </c>
    </row>
    <row r="64" spans="2:20" s="40" customFormat="1" ht="19.8">
      <c r="B64" s="49" t="s">
        <v>69</v>
      </c>
      <c r="C64" s="114"/>
      <c r="D64" s="114"/>
      <c r="E64" s="114"/>
      <c r="F64" s="114"/>
      <c r="G64" s="114"/>
      <c r="H64" s="115"/>
      <c r="I64" s="115"/>
      <c r="J64" s="115"/>
      <c r="K64" s="115"/>
      <c r="L64" s="115"/>
      <c r="M64" s="115"/>
      <c r="N64" s="115"/>
      <c r="O64" s="45">
        <f t="shared" si="25"/>
        <v>0</v>
      </c>
      <c r="P64" s="36"/>
      <c r="Q64" s="111">
        <f t="shared" si="20"/>
        <v>0</v>
      </c>
      <c r="R64" s="112">
        <f t="shared" si="21"/>
        <v>0</v>
      </c>
      <c r="S64" s="112">
        <f t="shared" si="22"/>
        <v>0</v>
      </c>
      <c r="T64" s="113">
        <f t="shared" si="23"/>
        <v>0</v>
      </c>
    </row>
    <row r="65" spans="2:20" s="40" customFormat="1" ht="19.8">
      <c r="B65" s="49" t="s">
        <v>83</v>
      </c>
      <c r="C65" s="114"/>
      <c r="D65" s="114"/>
      <c r="E65" s="114"/>
      <c r="F65" s="114"/>
      <c r="G65" s="114"/>
      <c r="H65" s="115"/>
      <c r="I65" s="115"/>
      <c r="J65" s="115"/>
      <c r="K65" s="115"/>
      <c r="L65" s="115"/>
      <c r="M65" s="115"/>
      <c r="N65" s="115"/>
      <c r="O65" s="45">
        <f t="shared" si="25"/>
        <v>0</v>
      </c>
      <c r="P65" s="36"/>
      <c r="Q65" s="111">
        <f t="shared" si="20"/>
        <v>0</v>
      </c>
      <c r="R65" s="112">
        <f t="shared" si="21"/>
        <v>0</v>
      </c>
      <c r="S65" s="112">
        <f t="shared" si="22"/>
        <v>0</v>
      </c>
      <c r="T65" s="113">
        <f t="shared" si="23"/>
        <v>0</v>
      </c>
    </row>
    <row r="66" spans="2:20" s="40" customFormat="1" ht="19.8">
      <c r="B66" s="49" t="s">
        <v>44</v>
      </c>
      <c r="C66" s="114">
        <v>29245.8</v>
      </c>
      <c r="D66" s="114">
        <v>29245.8</v>
      </c>
      <c r="E66" s="114">
        <v>476524.2</v>
      </c>
      <c r="F66" s="114">
        <f>220518.8</f>
        <v>220518.8</v>
      </c>
      <c r="G66" s="114">
        <f>29245.8</f>
        <v>29245.8</v>
      </c>
      <c r="H66" s="115">
        <v>29245.8</v>
      </c>
      <c r="I66" s="115">
        <v>29245.8</v>
      </c>
      <c r="J66" s="115">
        <v>29245.8</v>
      </c>
      <c r="K66" s="115">
        <v>29245.8</v>
      </c>
      <c r="L66" s="115">
        <v>39245.800000000003</v>
      </c>
      <c r="M66" s="115">
        <v>19245.8</v>
      </c>
      <c r="N66" s="115">
        <v>29245.8</v>
      </c>
      <c r="O66" s="133">
        <f>Q66+R66+S66+T66</f>
        <v>989501</v>
      </c>
      <c r="P66" s="36"/>
      <c r="Q66" s="111">
        <f t="shared" si="20"/>
        <v>535015.80000000005</v>
      </c>
      <c r="R66" s="112">
        <f t="shared" si="21"/>
        <v>279010.39999999997</v>
      </c>
      <c r="S66" s="112">
        <f t="shared" si="22"/>
        <v>87737.4</v>
      </c>
      <c r="T66" s="113">
        <f t="shared" si="23"/>
        <v>87737.400000000009</v>
      </c>
    </row>
    <row r="67" spans="2:20" s="40" customFormat="1" ht="19.8">
      <c r="B67" s="49" t="s">
        <v>45</v>
      </c>
      <c r="C67" s="114"/>
      <c r="D67" s="114"/>
      <c r="E67" s="114"/>
      <c r="F67" s="114"/>
      <c r="G67" s="114"/>
      <c r="H67" s="116"/>
      <c r="I67" s="115"/>
      <c r="J67" s="115"/>
      <c r="K67" s="115"/>
      <c r="L67" s="115"/>
      <c r="M67" s="115"/>
      <c r="N67" s="115"/>
      <c r="O67" s="45">
        <f t="shared" si="25"/>
        <v>0</v>
      </c>
      <c r="P67" s="36"/>
      <c r="Q67" s="111">
        <f t="shared" si="20"/>
        <v>0</v>
      </c>
      <c r="R67" s="112">
        <f t="shared" si="21"/>
        <v>0</v>
      </c>
      <c r="S67" s="112">
        <f t="shared" si="22"/>
        <v>0</v>
      </c>
      <c r="T67" s="113">
        <f t="shared" si="23"/>
        <v>0</v>
      </c>
    </row>
    <row r="68" spans="2:20" s="40" customFormat="1" ht="19.8">
      <c r="B68" s="49" t="s">
        <v>46</v>
      </c>
      <c r="C68" s="114"/>
      <c r="D68" s="114"/>
      <c r="E68" s="114">
        <v>73000</v>
      </c>
      <c r="F68" s="114"/>
      <c r="G68" s="114"/>
      <c r="H68" s="115"/>
      <c r="I68" s="115"/>
      <c r="J68" s="115"/>
      <c r="K68" s="115"/>
      <c r="L68" s="115">
        <v>32400</v>
      </c>
      <c r="M68" s="115"/>
      <c r="N68" s="115"/>
      <c r="O68" s="133">
        <f t="shared" si="25"/>
        <v>105400</v>
      </c>
      <c r="P68" s="36"/>
      <c r="Q68" s="111">
        <f t="shared" si="20"/>
        <v>73000</v>
      </c>
      <c r="R68" s="112">
        <f t="shared" si="21"/>
        <v>0</v>
      </c>
      <c r="S68" s="112">
        <f t="shared" si="22"/>
        <v>0</v>
      </c>
      <c r="T68" s="113">
        <f t="shared" si="23"/>
        <v>32400</v>
      </c>
    </row>
    <row r="69" spans="2:20" s="40" customFormat="1" ht="19.8">
      <c r="B69" s="49" t="s">
        <v>47</v>
      </c>
      <c r="C69" s="114">
        <f>998300+205600+4000</f>
        <v>1207900</v>
      </c>
      <c r="D69" s="114">
        <f>1004100+210200+4000+26277</f>
        <v>1244577</v>
      </c>
      <c r="E69" s="114">
        <f>26405+1005300+211000+4000</f>
        <v>1246705</v>
      </c>
      <c r="F69" s="114">
        <f>1020300+212600+4000+26405+5800</f>
        <v>1269105</v>
      </c>
      <c r="G69" s="114">
        <f>1022000+214200+4000+26405</f>
        <v>1266605</v>
      </c>
      <c r="H69" s="115">
        <f>26405+1239900</f>
        <v>1266305</v>
      </c>
      <c r="I69" s="115">
        <f>1020700+215600+4000+26405</f>
        <v>1266705</v>
      </c>
      <c r="J69" s="115">
        <f>1023700+216400+4000+26405</f>
        <v>1270505</v>
      </c>
      <c r="K69" s="115">
        <f>1032600+218000+26005+4000</f>
        <v>1280605</v>
      </c>
      <c r="L69" s="115">
        <f>26405+4000</f>
        <v>30405</v>
      </c>
      <c r="M69" s="115">
        <f>2058700+431200+4000+22405</f>
        <v>2516305</v>
      </c>
      <c r="N69" s="115">
        <f>52810+1031600+216400+4000</f>
        <v>1304810</v>
      </c>
      <c r="O69" s="45">
        <f t="shared" si="25"/>
        <v>15170532</v>
      </c>
      <c r="P69" s="36"/>
      <c r="Q69" s="111">
        <f t="shared" si="20"/>
        <v>3699182</v>
      </c>
      <c r="R69" s="112">
        <f t="shared" si="21"/>
        <v>3802015</v>
      </c>
      <c r="S69" s="112">
        <f t="shared" si="22"/>
        <v>3817815</v>
      </c>
      <c r="T69" s="113">
        <f t="shared" si="23"/>
        <v>3851520</v>
      </c>
    </row>
    <row r="70" spans="2:20" s="40" customFormat="1" ht="19.8">
      <c r="B70" s="42" t="s">
        <v>48</v>
      </c>
      <c r="C70" s="109">
        <f t="shared" ref="C70:N70" si="26">SUM(C71:C78)</f>
        <v>1610624.25</v>
      </c>
      <c r="D70" s="109">
        <f t="shared" si="26"/>
        <v>2395594.2599999998</v>
      </c>
      <c r="E70" s="109">
        <f>SUM(E71:E78)</f>
        <v>2721094.7</v>
      </c>
      <c r="F70" s="109">
        <f t="shared" si="26"/>
        <v>2717799.41</v>
      </c>
      <c r="G70" s="109">
        <f t="shared" si="26"/>
        <v>2444178.4800000004</v>
      </c>
      <c r="H70" s="109">
        <f t="shared" si="26"/>
        <v>2303549.5</v>
      </c>
      <c r="I70" s="109">
        <f t="shared" si="26"/>
        <v>2632777.08</v>
      </c>
      <c r="J70" s="109">
        <f t="shared" si="26"/>
        <v>2486479.16</v>
      </c>
      <c r="K70" s="109">
        <f t="shared" si="26"/>
        <v>2575940.2600000002</v>
      </c>
      <c r="L70" s="109">
        <f t="shared" si="26"/>
        <v>2315415.34</v>
      </c>
      <c r="M70" s="109">
        <f t="shared" si="26"/>
        <v>2961067.88</v>
      </c>
      <c r="N70" s="109">
        <f t="shared" si="26"/>
        <v>3809703.36</v>
      </c>
      <c r="O70" s="45">
        <f t="shared" si="25"/>
        <v>30974223.68</v>
      </c>
      <c r="P70" s="36"/>
      <c r="Q70" s="111">
        <f t="shared" si="20"/>
        <v>6727313.21</v>
      </c>
      <c r="R70" s="112">
        <f t="shared" si="21"/>
        <v>7465527.3900000006</v>
      </c>
      <c r="S70" s="112">
        <f t="shared" si="22"/>
        <v>7695196.5</v>
      </c>
      <c r="T70" s="113">
        <f t="shared" si="23"/>
        <v>9086186.5800000001</v>
      </c>
    </row>
    <row r="71" spans="2:20" s="40" customFormat="1" ht="19.8">
      <c r="B71" s="49" t="s">
        <v>93</v>
      </c>
      <c r="C71" s="114">
        <v>220080</v>
      </c>
      <c r="D71" s="114">
        <v>220080</v>
      </c>
      <c r="E71" s="114">
        <v>220080</v>
      </c>
      <c r="F71" s="114">
        <v>220080</v>
      </c>
      <c r="G71" s="114">
        <v>220080</v>
      </c>
      <c r="H71" s="115">
        <v>220080</v>
      </c>
      <c r="I71" s="115">
        <v>220080</v>
      </c>
      <c r="J71" s="115">
        <v>220080</v>
      </c>
      <c r="K71" s="115">
        <v>220080</v>
      </c>
      <c r="L71" s="115">
        <v>220080</v>
      </c>
      <c r="M71" s="115">
        <v>220080</v>
      </c>
      <c r="N71" s="115">
        <v>220080</v>
      </c>
      <c r="O71" s="133">
        <f>Q71+R71+S71+T71</f>
        <v>2640960</v>
      </c>
      <c r="P71" s="36"/>
      <c r="Q71" s="111">
        <f t="shared" si="20"/>
        <v>660240</v>
      </c>
      <c r="R71" s="112">
        <f t="shared" si="21"/>
        <v>660240</v>
      </c>
      <c r="S71" s="112">
        <f t="shared" si="22"/>
        <v>660240</v>
      </c>
      <c r="T71" s="113">
        <f t="shared" si="23"/>
        <v>660240</v>
      </c>
    </row>
    <row r="72" spans="2:20" s="40" customFormat="1" ht="19.8">
      <c r="B72" s="49" t="s">
        <v>94</v>
      </c>
      <c r="C72" s="114">
        <v>1343162.94</v>
      </c>
      <c r="D72" s="114">
        <v>1357055</v>
      </c>
      <c r="E72" s="114">
        <v>1357055</v>
      </c>
      <c r="F72" s="114">
        <v>1357055</v>
      </c>
      <c r="G72" s="114">
        <v>1357055</v>
      </c>
      <c r="H72" s="115">
        <v>1357055</v>
      </c>
      <c r="I72" s="115">
        <v>1371315</v>
      </c>
      <c r="J72" s="115">
        <v>1349145</v>
      </c>
      <c r="K72" s="115">
        <v>1317105</v>
      </c>
      <c r="L72" s="115">
        <v>1314003.06</v>
      </c>
      <c r="M72" s="115">
        <v>1313745</v>
      </c>
      <c r="N72" s="115">
        <v>1317595</v>
      </c>
      <c r="O72" s="133">
        <f t="shared" si="25"/>
        <v>16111346</v>
      </c>
      <c r="P72" s="36"/>
      <c r="Q72" s="111">
        <f t="shared" si="20"/>
        <v>4057272.94</v>
      </c>
      <c r="R72" s="112">
        <f t="shared" si="21"/>
        <v>4071165</v>
      </c>
      <c r="S72" s="112">
        <f t="shared" si="22"/>
        <v>4037565</v>
      </c>
      <c r="T72" s="113">
        <f t="shared" si="23"/>
        <v>3945343.06</v>
      </c>
    </row>
    <row r="73" spans="2:20" s="40" customFormat="1" ht="19.8">
      <c r="B73" s="49" t="s">
        <v>95</v>
      </c>
      <c r="C73" s="114"/>
      <c r="D73" s="114">
        <v>81100</v>
      </c>
      <c r="E73" s="114">
        <v>33200</v>
      </c>
      <c r="F73" s="114">
        <v>35000</v>
      </c>
      <c r="G73" s="114">
        <v>14250</v>
      </c>
      <c r="H73" s="115">
        <v>31400</v>
      </c>
      <c r="I73" s="115">
        <v>42120</v>
      </c>
      <c r="J73" s="115">
        <v>40800</v>
      </c>
      <c r="K73" s="115">
        <v>40770</v>
      </c>
      <c r="L73" s="115">
        <v>26690</v>
      </c>
      <c r="M73" s="115">
        <v>40710</v>
      </c>
      <c r="N73" s="115">
        <v>145950</v>
      </c>
      <c r="O73" s="133">
        <f t="shared" si="25"/>
        <v>531990</v>
      </c>
      <c r="P73" s="36"/>
      <c r="Q73" s="111">
        <f t="shared" si="20"/>
        <v>114300</v>
      </c>
      <c r="R73" s="112">
        <f t="shared" si="21"/>
        <v>80650</v>
      </c>
      <c r="S73" s="112">
        <f t="shared" si="22"/>
        <v>123690</v>
      </c>
      <c r="T73" s="113">
        <f t="shared" si="23"/>
        <v>213350</v>
      </c>
    </row>
    <row r="74" spans="2:20" s="40" customFormat="1" ht="19.8">
      <c r="B74" s="49" t="s">
        <v>96</v>
      </c>
      <c r="C74" s="114">
        <v>9000</v>
      </c>
      <c r="D74" s="114">
        <v>273585.68</v>
      </c>
      <c r="E74" s="114">
        <v>857534.68</v>
      </c>
      <c r="F74" s="114">
        <v>467532.31</v>
      </c>
      <c r="G74" s="114">
        <v>470948.07</v>
      </c>
      <c r="H74" s="115">
        <v>200385.04</v>
      </c>
      <c r="I74" s="115">
        <v>437566.34</v>
      </c>
      <c r="J74" s="115">
        <v>521967.27</v>
      </c>
      <c r="K74" s="115">
        <v>209575.96</v>
      </c>
      <c r="L74" s="115">
        <v>210808.48</v>
      </c>
      <c r="M74" s="115">
        <v>413508.13</v>
      </c>
      <c r="N74" s="115">
        <v>771703.73</v>
      </c>
      <c r="O74" s="133">
        <f t="shared" si="25"/>
        <v>4844115.6900000004</v>
      </c>
      <c r="P74" s="36"/>
      <c r="Q74" s="111">
        <f t="shared" si="20"/>
        <v>1140120.3600000001</v>
      </c>
      <c r="R74" s="112">
        <f t="shared" si="21"/>
        <v>1138865.42</v>
      </c>
      <c r="S74" s="112">
        <f t="shared" si="22"/>
        <v>1169109.57</v>
      </c>
      <c r="T74" s="113">
        <f t="shared" si="23"/>
        <v>1396020.3399999999</v>
      </c>
    </row>
    <row r="75" spans="2:20" s="40" customFormat="1" ht="19.8">
      <c r="B75" s="49" t="s">
        <v>97</v>
      </c>
      <c r="C75" s="114"/>
      <c r="D75" s="114">
        <v>50872</v>
      </c>
      <c r="E75" s="114">
        <v>72827</v>
      </c>
      <c r="F75" s="114">
        <v>183315.5</v>
      </c>
      <c r="G75" s="114">
        <v>220807</v>
      </c>
      <c r="H75" s="115">
        <v>311825</v>
      </c>
      <c r="I75" s="115">
        <v>88972</v>
      </c>
      <c r="J75" s="115">
        <v>98630</v>
      </c>
      <c r="K75" s="115">
        <v>568111.69999999995</v>
      </c>
      <c r="L75" s="115">
        <v>359301</v>
      </c>
      <c r="M75" s="115">
        <v>323010</v>
      </c>
      <c r="N75" s="115">
        <v>758690</v>
      </c>
      <c r="O75" s="133">
        <f t="shared" si="25"/>
        <v>3036361.2</v>
      </c>
      <c r="P75" s="36"/>
      <c r="Q75" s="111">
        <f t="shared" si="20"/>
        <v>123699</v>
      </c>
      <c r="R75" s="112">
        <f t="shared" si="21"/>
        <v>715947.5</v>
      </c>
      <c r="S75" s="112">
        <f t="shared" si="22"/>
        <v>755713.7</v>
      </c>
      <c r="T75" s="113">
        <f t="shared" si="23"/>
        <v>1441001</v>
      </c>
    </row>
    <row r="76" spans="2:20" s="40" customFormat="1" ht="19.8">
      <c r="B76" s="49" t="s">
        <v>98</v>
      </c>
      <c r="C76" s="114">
        <v>8381.31</v>
      </c>
      <c r="D76" s="114">
        <v>143401.57999999999</v>
      </c>
      <c r="E76" s="114">
        <v>167833.22</v>
      </c>
      <c r="F76" s="114">
        <v>188616.6</v>
      </c>
      <c r="G76" s="114">
        <v>161038.41</v>
      </c>
      <c r="H76" s="115">
        <v>182804.46</v>
      </c>
      <c r="I76" s="115">
        <v>206523.74</v>
      </c>
      <c r="J76" s="115">
        <v>255856.89</v>
      </c>
      <c r="K76" s="115">
        <v>220297.60000000001</v>
      </c>
      <c r="L76" s="115">
        <v>184532.8</v>
      </c>
      <c r="M76" s="115">
        <v>192614.75</v>
      </c>
      <c r="N76" s="115">
        <v>193555.44</v>
      </c>
      <c r="O76" s="133">
        <f t="shared" si="25"/>
        <v>2105456.7999999998</v>
      </c>
      <c r="P76" s="36"/>
      <c r="Q76" s="111">
        <f t="shared" si="20"/>
        <v>319616.11</v>
      </c>
      <c r="R76" s="112">
        <f t="shared" si="21"/>
        <v>532459.47</v>
      </c>
      <c r="S76" s="112">
        <f t="shared" si="22"/>
        <v>682678.23</v>
      </c>
      <c r="T76" s="113">
        <f t="shared" si="23"/>
        <v>570702.99</v>
      </c>
    </row>
    <row r="77" spans="2:20" s="40" customFormat="1" ht="19.8">
      <c r="B77" s="49" t="s">
        <v>99</v>
      </c>
      <c r="C77" s="114">
        <v>30000</v>
      </c>
      <c r="D77" s="114">
        <v>269500</v>
      </c>
      <c r="E77" s="114">
        <v>12564.8</v>
      </c>
      <c r="F77" s="114">
        <v>266200</v>
      </c>
      <c r="G77" s="114"/>
      <c r="H77" s="115"/>
      <c r="I77" s="115">
        <v>266200</v>
      </c>
      <c r="J77" s="115" t="s">
        <v>121</v>
      </c>
      <c r="K77" s="115"/>
      <c r="L77" s="115"/>
      <c r="M77" s="115">
        <v>457400</v>
      </c>
      <c r="N77" s="115">
        <v>402129.19</v>
      </c>
      <c r="O77" s="133">
        <f t="shared" si="25"/>
        <v>1703993.99</v>
      </c>
      <c r="P77" s="36"/>
      <c r="Q77" s="111">
        <f t="shared" si="20"/>
        <v>312064.8</v>
      </c>
      <c r="R77" s="112">
        <f t="shared" si="21"/>
        <v>266200</v>
      </c>
      <c r="S77" s="112">
        <f t="shared" si="22"/>
        <v>266200</v>
      </c>
      <c r="T77" s="113">
        <f t="shared" si="23"/>
        <v>859529.19</v>
      </c>
    </row>
    <row r="78" spans="2:20" s="40" customFormat="1" ht="19.8">
      <c r="B78" s="49" t="s">
        <v>100</v>
      </c>
      <c r="C78" s="114"/>
      <c r="D78" s="114"/>
      <c r="E78" s="114"/>
      <c r="F78" s="114"/>
      <c r="G78" s="114"/>
      <c r="H78" s="115"/>
      <c r="I78" s="115"/>
      <c r="J78" s="115"/>
      <c r="K78" s="115"/>
      <c r="L78" s="115"/>
      <c r="M78" s="115"/>
      <c r="N78" s="115"/>
      <c r="O78" s="133">
        <f t="shared" si="25"/>
        <v>0</v>
      </c>
      <c r="P78" s="36"/>
      <c r="Q78" s="111">
        <f t="shared" si="20"/>
        <v>0</v>
      </c>
      <c r="R78" s="112">
        <f t="shared" si="21"/>
        <v>0</v>
      </c>
      <c r="S78" s="112">
        <f t="shared" si="22"/>
        <v>0</v>
      </c>
      <c r="T78" s="113">
        <f t="shared" si="23"/>
        <v>0</v>
      </c>
    </row>
    <row r="79" spans="2:20" s="40" customFormat="1" ht="19.8">
      <c r="B79" s="58" t="s">
        <v>49</v>
      </c>
      <c r="C79" s="109">
        <f t="shared" ref="C79:N79" si="27">SUM(C80:C82)</f>
        <v>0</v>
      </c>
      <c r="D79" s="109">
        <f t="shared" si="27"/>
        <v>0</v>
      </c>
      <c r="E79" s="109">
        <f t="shared" si="27"/>
        <v>477316</v>
      </c>
      <c r="F79" s="109">
        <f t="shared" si="27"/>
        <v>0</v>
      </c>
      <c r="G79" s="109">
        <f t="shared" si="27"/>
        <v>494000</v>
      </c>
      <c r="H79" s="109">
        <f t="shared" si="27"/>
        <v>6000</v>
      </c>
      <c r="I79" s="109">
        <f t="shared" si="27"/>
        <v>42500</v>
      </c>
      <c r="J79" s="109">
        <f t="shared" si="27"/>
        <v>0</v>
      </c>
      <c r="K79" s="109">
        <f t="shared" si="27"/>
        <v>0</v>
      </c>
      <c r="L79" s="109">
        <f t="shared" si="27"/>
        <v>1337549</v>
      </c>
      <c r="M79" s="109">
        <f t="shared" si="27"/>
        <v>1548027</v>
      </c>
      <c r="N79" s="109">
        <f t="shared" si="27"/>
        <v>651360</v>
      </c>
      <c r="O79" s="133">
        <f t="shared" si="25"/>
        <v>4556752</v>
      </c>
      <c r="P79" s="36"/>
      <c r="Q79" s="111">
        <f t="shared" si="20"/>
        <v>477316</v>
      </c>
      <c r="R79" s="112">
        <f t="shared" si="21"/>
        <v>500000</v>
      </c>
      <c r="S79" s="112">
        <f t="shared" si="22"/>
        <v>42500</v>
      </c>
      <c r="T79" s="113">
        <f t="shared" si="23"/>
        <v>3536936</v>
      </c>
    </row>
    <row r="80" spans="2:20" s="40" customFormat="1" ht="19.8">
      <c r="B80" s="49" t="s">
        <v>50</v>
      </c>
      <c r="C80" s="114"/>
      <c r="D80" s="114"/>
      <c r="E80" s="114">
        <v>23500</v>
      </c>
      <c r="F80" s="114"/>
      <c r="G80" s="114">
        <v>494000</v>
      </c>
      <c r="H80" s="115">
        <v>6000</v>
      </c>
      <c r="I80" s="115">
        <v>42500</v>
      </c>
      <c r="J80" s="115"/>
      <c r="K80" s="115"/>
      <c r="L80" s="115">
        <v>30100</v>
      </c>
      <c r="M80" s="115">
        <v>65000</v>
      </c>
      <c r="N80" s="115">
        <v>153360</v>
      </c>
      <c r="O80" s="133">
        <f t="shared" si="25"/>
        <v>814460</v>
      </c>
      <c r="P80" s="36"/>
      <c r="Q80" s="111">
        <f t="shared" si="20"/>
        <v>23500</v>
      </c>
      <c r="R80" s="112">
        <f t="shared" si="21"/>
        <v>500000</v>
      </c>
      <c r="S80" s="112">
        <f t="shared" si="22"/>
        <v>42500</v>
      </c>
      <c r="T80" s="113">
        <f t="shared" si="23"/>
        <v>248460</v>
      </c>
    </row>
    <row r="81" spans="2:20" s="40" customFormat="1" ht="23.25" customHeight="1">
      <c r="B81" s="49" t="s">
        <v>51</v>
      </c>
      <c r="C81" s="114"/>
      <c r="D81" s="114"/>
      <c r="E81" s="114">
        <v>453816</v>
      </c>
      <c r="F81" s="114"/>
      <c r="G81" s="114"/>
      <c r="H81" s="115"/>
      <c r="I81" s="115"/>
      <c r="J81" s="115"/>
      <c r="K81" s="115"/>
      <c r="L81" s="115">
        <v>1307449</v>
      </c>
      <c r="M81" s="115">
        <v>1483027</v>
      </c>
      <c r="N81" s="115">
        <v>498000</v>
      </c>
      <c r="O81" s="133">
        <f t="shared" si="25"/>
        <v>3742292</v>
      </c>
      <c r="P81" s="36"/>
      <c r="Q81" s="111">
        <f t="shared" si="20"/>
        <v>453816</v>
      </c>
      <c r="R81" s="112">
        <f t="shared" si="21"/>
        <v>0</v>
      </c>
      <c r="S81" s="112">
        <f t="shared" si="22"/>
        <v>0</v>
      </c>
      <c r="T81" s="113">
        <f t="shared" si="23"/>
        <v>3288476</v>
      </c>
    </row>
    <row r="82" spans="2:20" s="40" customFormat="1" ht="19.8">
      <c r="B82" s="49" t="s">
        <v>52</v>
      </c>
      <c r="C82" s="114"/>
      <c r="D82" s="114"/>
      <c r="E82" s="114"/>
      <c r="F82" s="114"/>
      <c r="G82" s="114"/>
      <c r="H82" s="115"/>
      <c r="I82" s="115"/>
      <c r="J82" s="115"/>
      <c r="K82" s="115"/>
      <c r="L82" s="115"/>
      <c r="M82" s="115"/>
      <c r="N82" s="115"/>
      <c r="O82" s="45">
        <f t="shared" si="25"/>
        <v>0</v>
      </c>
      <c r="P82" s="36"/>
      <c r="Q82" s="111">
        <f t="shared" si="20"/>
        <v>0</v>
      </c>
      <c r="R82" s="112">
        <f t="shared" si="21"/>
        <v>0</v>
      </c>
      <c r="S82" s="112">
        <f t="shared" si="22"/>
        <v>0</v>
      </c>
      <c r="T82" s="113">
        <f t="shared" si="23"/>
        <v>0</v>
      </c>
    </row>
    <row r="83" spans="2:20" s="40" customFormat="1" ht="19.8">
      <c r="B83" s="58" t="s">
        <v>53</v>
      </c>
      <c r="C83" s="117">
        <f t="shared" ref="C83:N83" si="28">C84+C85+C86+C89</f>
        <v>1006000</v>
      </c>
      <c r="D83" s="117">
        <f t="shared" si="28"/>
        <v>10000</v>
      </c>
      <c r="E83" s="117">
        <f t="shared" si="28"/>
        <v>10000</v>
      </c>
      <c r="F83" s="117">
        <f t="shared" si="28"/>
        <v>19500</v>
      </c>
      <c r="G83" s="117">
        <f t="shared" si="28"/>
        <v>19500</v>
      </c>
      <c r="H83" s="117">
        <f t="shared" si="28"/>
        <v>19500</v>
      </c>
      <c r="I83" s="117">
        <f t="shared" si="28"/>
        <v>9500</v>
      </c>
      <c r="J83" s="117">
        <f t="shared" si="28"/>
        <v>29500</v>
      </c>
      <c r="K83" s="117">
        <f t="shared" si="28"/>
        <v>19500</v>
      </c>
      <c r="L83" s="117">
        <f t="shared" si="28"/>
        <v>19500</v>
      </c>
      <c r="M83" s="117">
        <f t="shared" si="28"/>
        <v>49500</v>
      </c>
      <c r="N83" s="117">
        <f t="shared" si="28"/>
        <v>9177000</v>
      </c>
      <c r="O83" s="35">
        <f t="shared" si="25"/>
        <v>10389000</v>
      </c>
      <c r="P83" s="36"/>
      <c r="Q83" s="111">
        <f t="shared" si="20"/>
        <v>1026000</v>
      </c>
      <c r="R83" s="112">
        <f t="shared" si="21"/>
        <v>58500</v>
      </c>
      <c r="S83" s="112">
        <f t="shared" si="22"/>
        <v>58500</v>
      </c>
      <c r="T83" s="113">
        <f t="shared" si="23"/>
        <v>9246000</v>
      </c>
    </row>
    <row r="84" spans="2:20" s="40" customFormat="1" ht="19.8">
      <c r="B84" s="49" t="s">
        <v>54</v>
      </c>
      <c r="C84" s="114">
        <f>498000+498000+10000</f>
        <v>1006000</v>
      </c>
      <c r="D84" s="114">
        <v>10000</v>
      </c>
      <c r="E84" s="114">
        <v>10000</v>
      </c>
      <c r="F84" s="114">
        <f>10000+9500</f>
        <v>19500</v>
      </c>
      <c r="G84" s="114">
        <f>10000+9500</f>
        <v>19500</v>
      </c>
      <c r="H84" s="115">
        <f>10000+9500</f>
        <v>19500</v>
      </c>
      <c r="I84" s="115">
        <f>9500</f>
        <v>9500</v>
      </c>
      <c r="J84" s="115">
        <f>29500</f>
        <v>29500</v>
      </c>
      <c r="K84" s="115">
        <f>10000+9500</f>
        <v>19500</v>
      </c>
      <c r="L84" s="115">
        <f>9500+10000</f>
        <v>19500</v>
      </c>
      <c r="M84" s="115">
        <f>10000+9500+30000</f>
        <v>49500</v>
      </c>
      <c r="N84" s="115">
        <f>24000+9153000</f>
        <v>9177000</v>
      </c>
      <c r="O84" s="45">
        <f t="shared" si="25"/>
        <v>10389000</v>
      </c>
      <c r="P84" s="36"/>
      <c r="Q84" s="111">
        <f t="shared" si="20"/>
        <v>1026000</v>
      </c>
      <c r="R84" s="112">
        <f t="shared" si="21"/>
        <v>58500</v>
      </c>
      <c r="S84" s="112">
        <f t="shared" si="22"/>
        <v>58500</v>
      </c>
      <c r="T84" s="113">
        <f t="shared" si="23"/>
        <v>9246000</v>
      </c>
    </row>
    <row r="85" spans="2:20" s="40" customFormat="1" ht="22.8">
      <c r="B85" s="49" t="s">
        <v>120</v>
      </c>
      <c r="C85" s="114"/>
      <c r="D85" s="114"/>
      <c r="E85" s="114"/>
      <c r="F85" s="114"/>
      <c r="G85" s="114"/>
      <c r="H85" s="115"/>
      <c r="I85" s="115"/>
      <c r="J85" s="115"/>
      <c r="K85" s="115"/>
      <c r="L85" s="115"/>
      <c r="M85" s="115"/>
      <c r="N85" s="115"/>
      <c r="O85" s="45">
        <f t="shared" si="25"/>
        <v>0</v>
      </c>
      <c r="P85" s="36"/>
      <c r="Q85" s="111">
        <f t="shared" si="20"/>
        <v>0</v>
      </c>
      <c r="R85" s="112">
        <f t="shared" si="21"/>
        <v>0</v>
      </c>
      <c r="S85" s="112">
        <f t="shared" si="22"/>
        <v>0</v>
      </c>
      <c r="T85" s="113">
        <f t="shared" si="23"/>
        <v>0</v>
      </c>
    </row>
    <row r="86" spans="2:20" s="40" customFormat="1" ht="19.8">
      <c r="B86" s="108" t="s">
        <v>55</v>
      </c>
      <c r="C86" s="109">
        <f t="shared" ref="C86:N86" si="29">C87+C88</f>
        <v>0</v>
      </c>
      <c r="D86" s="109">
        <f t="shared" si="29"/>
        <v>0</v>
      </c>
      <c r="E86" s="109">
        <f t="shared" si="29"/>
        <v>0</v>
      </c>
      <c r="F86" s="109">
        <f t="shared" si="29"/>
        <v>0</v>
      </c>
      <c r="G86" s="109">
        <f t="shared" si="29"/>
        <v>0</v>
      </c>
      <c r="H86" s="110">
        <f t="shared" si="29"/>
        <v>0</v>
      </c>
      <c r="I86" s="110">
        <f t="shared" si="29"/>
        <v>0</v>
      </c>
      <c r="J86" s="110">
        <f t="shared" si="29"/>
        <v>0</v>
      </c>
      <c r="K86" s="110">
        <f t="shared" si="29"/>
        <v>0</v>
      </c>
      <c r="L86" s="110">
        <f t="shared" si="29"/>
        <v>0</v>
      </c>
      <c r="M86" s="110">
        <f t="shared" si="29"/>
        <v>0</v>
      </c>
      <c r="N86" s="110">
        <f t="shared" si="29"/>
        <v>0</v>
      </c>
      <c r="O86" s="45">
        <f t="shared" si="25"/>
        <v>0</v>
      </c>
      <c r="P86" s="36"/>
      <c r="Q86" s="111">
        <f t="shared" si="20"/>
        <v>0</v>
      </c>
      <c r="R86" s="112">
        <f t="shared" si="21"/>
        <v>0</v>
      </c>
      <c r="S86" s="112">
        <f t="shared" si="22"/>
        <v>0</v>
      </c>
      <c r="T86" s="113">
        <f t="shared" si="23"/>
        <v>0</v>
      </c>
    </row>
    <row r="87" spans="2:20" s="40" customFormat="1" ht="19.8">
      <c r="B87" s="118" t="s">
        <v>70</v>
      </c>
      <c r="C87" s="114"/>
      <c r="D87" s="114"/>
      <c r="E87" s="114"/>
      <c r="F87" s="114"/>
      <c r="G87" s="114"/>
      <c r="H87" s="115"/>
      <c r="I87" s="115"/>
      <c r="J87" s="115"/>
      <c r="K87" s="115"/>
      <c r="L87" s="115"/>
      <c r="M87" s="115"/>
      <c r="N87" s="115"/>
      <c r="O87" s="45">
        <f t="shared" si="25"/>
        <v>0</v>
      </c>
      <c r="P87" s="36"/>
      <c r="Q87" s="111">
        <f t="shared" si="20"/>
        <v>0</v>
      </c>
      <c r="R87" s="112">
        <f t="shared" si="21"/>
        <v>0</v>
      </c>
      <c r="S87" s="112">
        <f t="shared" si="22"/>
        <v>0</v>
      </c>
      <c r="T87" s="113">
        <f t="shared" si="23"/>
        <v>0</v>
      </c>
    </row>
    <row r="88" spans="2:20" s="40" customFormat="1" ht="19.8">
      <c r="B88" s="118" t="s">
        <v>81</v>
      </c>
      <c r="C88" s="114"/>
      <c r="D88" s="114"/>
      <c r="E88" s="114"/>
      <c r="F88" s="114"/>
      <c r="G88" s="114"/>
      <c r="H88" s="115"/>
      <c r="I88" s="115"/>
      <c r="J88" s="115"/>
      <c r="K88" s="115"/>
      <c r="L88" s="115"/>
      <c r="M88" s="115"/>
      <c r="N88" s="115"/>
      <c r="O88" s="45">
        <f t="shared" si="25"/>
        <v>0</v>
      </c>
      <c r="P88" s="36"/>
      <c r="Q88" s="111">
        <f t="shared" si="20"/>
        <v>0</v>
      </c>
      <c r="R88" s="112">
        <f t="shared" si="21"/>
        <v>0</v>
      </c>
      <c r="S88" s="112">
        <f t="shared" si="22"/>
        <v>0</v>
      </c>
      <c r="T88" s="113">
        <f t="shared" si="23"/>
        <v>0</v>
      </c>
    </row>
    <row r="89" spans="2:20" s="40" customFormat="1" ht="19.8">
      <c r="B89" s="49" t="s">
        <v>84</v>
      </c>
      <c r="C89" s="114"/>
      <c r="D89" s="114"/>
      <c r="E89" s="114"/>
      <c r="F89" s="114"/>
      <c r="G89" s="114"/>
      <c r="H89" s="115"/>
      <c r="I89" s="115"/>
      <c r="J89" s="115"/>
      <c r="K89" s="115"/>
      <c r="L89" s="115"/>
      <c r="M89" s="115"/>
      <c r="N89" s="115"/>
      <c r="O89" s="45">
        <f t="shared" si="25"/>
        <v>0</v>
      </c>
      <c r="P89" s="36"/>
      <c r="Q89" s="111">
        <f t="shared" si="20"/>
        <v>0</v>
      </c>
      <c r="R89" s="112">
        <f t="shared" si="21"/>
        <v>0</v>
      </c>
      <c r="S89" s="112">
        <f t="shared" si="22"/>
        <v>0</v>
      </c>
      <c r="T89" s="113">
        <f t="shared" si="23"/>
        <v>0</v>
      </c>
    </row>
    <row r="90" spans="2:20" s="40" customFormat="1" ht="19.8">
      <c r="B90" s="58" t="s">
        <v>56</v>
      </c>
      <c r="C90" s="117">
        <f t="shared" ref="C90:N90" si="30">SUM(C91:C94)</f>
        <v>1925000</v>
      </c>
      <c r="D90" s="117">
        <f t="shared" si="30"/>
        <v>2187272.6</v>
      </c>
      <c r="E90" s="117">
        <f t="shared" si="30"/>
        <v>131000</v>
      </c>
      <c r="F90" s="117">
        <f t="shared" si="30"/>
        <v>411000</v>
      </c>
      <c r="G90" s="117">
        <f t="shared" si="30"/>
        <v>0</v>
      </c>
      <c r="H90" s="117">
        <f t="shared" si="30"/>
        <v>0</v>
      </c>
      <c r="I90" s="117">
        <f t="shared" si="30"/>
        <v>0</v>
      </c>
      <c r="J90" s="117">
        <f t="shared" si="30"/>
        <v>0</v>
      </c>
      <c r="K90" s="117">
        <f t="shared" si="30"/>
        <v>0</v>
      </c>
      <c r="L90" s="117">
        <f t="shared" si="30"/>
        <v>0</v>
      </c>
      <c r="M90" s="117">
        <f t="shared" si="30"/>
        <v>0</v>
      </c>
      <c r="N90" s="117">
        <f t="shared" si="30"/>
        <v>15442863.699999999</v>
      </c>
      <c r="O90" s="45">
        <f t="shared" si="25"/>
        <v>20097136.299999997</v>
      </c>
      <c r="P90" s="36"/>
      <c r="Q90" s="111">
        <f t="shared" si="20"/>
        <v>4243272.5999999996</v>
      </c>
      <c r="R90" s="112">
        <f t="shared" si="21"/>
        <v>411000</v>
      </c>
      <c r="S90" s="112">
        <f t="shared" si="22"/>
        <v>0</v>
      </c>
      <c r="T90" s="113">
        <f t="shared" si="23"/>
        <v>15442863.699999999</v>
      </c>
    </row>
    <row r="91" spans="2:20" s="40" customFormat="1" ht="19.8">
      <c r="B91" s="49" t="s">
        <v>57</v>
      </c>
      <c r="C91" s="114"/>
      <c r="D91" s="114"/>
      <c r="E91" s="114"/>
      <c r="F91" s="114"/>
      <c r="G91" s="114"/>
      <c r="H91" s="115"/>
      <c r="I91" s="115"/>
      <c r="J91" s="115"/>
      <c r="K91" s="115"/>
      <c r="L91" s="115"/>
      <c r="M91" s="115"/>
      <c r="N91" s="115"/>
      <c r="O91" s="45">
        <f t="shared" si="25"/>
        <v>0</v>
      </c>
      <c r="P91" s="36"/>
      <c r="Q91" s="111">
        <f t="shared" si="20"/>
        <v>0</v>
      </c>
      <c r="R91" s="112">
        <f t="shared" si="21"/>
        <v>0</v>
      </c>
      <c r="S91" s="112">
        <f t="shared" si="22"/>
        <v>0</v>
      </c>
      <c r="T91" s="113">
        <f t="shared" si="23"/>
        <v>0</v>
      </c>
    </row>
    <row r="92" spans="2:20" s="40" customFormat="1" ht="19.8">
      <c r="B92" s="49" t="s">
        <v>58</v>
      </c>
      <c r="C92" s="114"/>
      <c r="D92" s="114">
        <v>274272.59999999998</v>
      </c>
      <c r="E92" s="119">
        <f>131000</f>
        <v>131000</v>
      </c>
      <c r="F92" s="114"/>
      <c r="G92" s="114"/>
      <c r="H92" s="115"/>
      <c r="I92" s="115"/>
      <c r="J92" s="115"/>
      <c r="K92" s="115"/>
      <c r="L92" s="115"/>
      <c r="M92" s="115"/>
      <c r="N92" s="115">
        <v>273339.7</v>
      </c>
      <c r="O92" s="45">
        <f t="shared" si="25"/>
        <v>678612.3</v>
      </c>
      <c r="P92" s="36"/>
      <c r="Q92" s="111">
        <f t="shared" si="20"/>
        <v>405272.6</v>
      </c>
      <c r="R92" s="112">
        <f t="shared" si="21"/>
        <v>0</v>
      </c>
      <c r="S92" s="112">
        <f t="shared" si="22"/>
        <v>0</v>
      </c>
      <c r="T92" s="113">
        <f t="shared" si="23"/>
        <v>273339.7</v>
      </c>
    </row>
    <row r="93" spans="2:20" s="40" customFormat="1" ht="19.8">
      <c r="B93" s="49" t="s">
        <v>59</v>
      </c>
      <c r="C93" s="114">
        <f>255000+337000+337000+498000+498000</f>
        <v>1925000</v>
      </c>
      <c r="D93" s="119">
        <f>495000+495000+337000+337000+249000</f>
        <v>1913000</v>
      </c>
      <c r="E93" s="114"/>
      <c r="F93" s="114">
        <v>411000</v>
      </c>
      <c r="G93" s="114"/>
      <c r="H93" s="115"/>
      <c r="I93" s="115"/>
      <c r="J93" s="115"/>
      <c r="K93" s="115"/>
      <c r="L93" s="115"/>
      <c r="M93" s="115"/>
      <c r="N93" s="115">
        <f>2249000+1356000</f>
        <v>3605000</v>
      </c>
      <c r="O93" s="45">
        <f t="shared" si="25"/>
        <v>7854000</v>
      </c>
      <c r="P93" s="36"/>
      <c r="Q93" s="111">
        <f t="shared" si="20"/>
        <v>3838000</v>
      </c>
      <c r="R93" s="112">
        <f t="shared" si="21"/>
        <v>411000</v>
      </c>
      <c r="S93" s="112">
        <f t="shared" si="22"/>
        <v>0</v>
      </c>
      <c r="T93" s="113">
        <f t="shared" si="23"/>
        <v>3605000</v>
      </c>
    </row>
    <row r="94" spans="2:20" s="40" customFormat="1" ht="19.8">
      <c r="B94" s="49" t="s">
        <v>60</v>
      </c>
      <c r="C94" s="114"/>
      <c r="D94" s="114"/>
      <c r="E94" s="114"/>
      <c r="F94" s="114"/>
      <c r="G94" s="114"/>
      <c r="H94" s="115"/>
      <c r="I94" s="115"/>
      <c r="J94" s="115"/>
      <c r="K94" s="115"/>
      <c r="L94" s="115"/>
      <c r="M94" s="115"/>
      <c r="N94" s="115">
        <v>11564524</v>
      </c>
      <c r="O94" s="45">
        <f t="shared" si="25"/>
        <v>11564524</v>
      </c>
      <c r="P94" s="36"/>
      <c r="Q94" s="111">
        <f t="shared" si="20"/>
        <v>0</v>
      </c>
      <c r="R94" s="112">
        <f t="shared" si="21"/>
        <v>0</v>
      </c>
      <c r="S94" s="112">
        <f t="shared" si="22"/>
        <v>0</v>
      </c>
      <c r="T94" s="113">
        <f t="shared" si="23"/>
        <v>11564524</v>
      </c>
    </row>
    <row r="95" spans="2:20" s="40" customFormat="1" ht="20.399999999999999" thickBot="1">
      <c r="B95" s="120" t="s">
        <v>71</v>
      </c>
      <c r="C95" s="121">
        <f>C62+C70+C79+C83+C90</f>
        <v>5778770.0499999998</v>
      </c>
      <c r="D95" s="121">
        <f t="shared" ref="D95:N95" si="31">D62+D70+D79+D83+D90</f>
        <v>5866689.6600000001</v>
      </c>
      <c r="E95" s="121">
        <f t="shared" si="31"/>
        <v>5135639.9000000004</v>
      </c>
      <c r="F95" s="121">
        <f t="shared" si="31"/>
        <v>4637923.21</v>
      </c>
      <c r="G95" s="121">
        <f t="shared" si="31"/>
        <v>4253529.28</v>
      </c>
      <c r="H95" s="122">
        <f t="shared" si="31"/>
        <v>3624600.3</v>
      </c>
      <c r="I95" s="122">
        <f t="shared" si="31"/>
        <v>3980727.88</v>
      </c>
      <c r="J95" s="122">
        <f t="shared" si="31"/>
        <v>3815729.96</v>
      </c>
      <c r="K95" s="122">
        <f>K62+K70+K79+K83+K90</f>
        <v>3905291.0600000005</v>
      </c>
      <c r="L95" s="122">
        <f t="shared" si="31"/>
        <v>3774515.1399999997</v>
      </c>
      <c r="M95" s="122">
        <f t="shared" si="31"/>
        <v>7094145.6799999997</v>
      </c>
      <c r="N95" s="122">
        <f t="shared" si="31"/>
        <v>30414982.859999999</v>
      </c>
      <c r="O95" s="123">
        <f t="shared" si="25"/>
        <v>82282544.979999989</v>
      </c>
      <c r="P95" s="124"/>
      <c r="Q95" s="125">
        <f t="shared" si="20"/>
        <v>16781099.609999999</v>
      </c>
      <c r="R95" s="126">
        <f t="shared" si="21"/>
        <v>12516052.789999999</v>
      </c>
      <c r="S95" s="126">
        <f t="shared" si="22"/>
        <v>11701748.9</v>
      </c>
      <c r="T95" s="127">
        <f t="shared" si="23"/>
        <v>41283643.68</v>
      </c>
    </row>
    <row r="96" spans="2:20" customFormat="1" ht="22.5" customHeight="1">
      <c r="B96" s="24" t="s">
        <v>116</v>
      </c>
      <c r="C96" s="27"/>
      <c r="D96" s="27"/>
      <c r="E96" s="27"/>
      <c r="F96" s="27"/>
      <c r="G96" s="27"/>
      <c r="H96" s="24"/>
      <c r="I96" s="24"/>
      <c r="J96" s="24"/>
      <c r="K96" s="24"/>
      <c r="L96" s="24"/>
      <c r="M96" s="24"/>
      <c r="N96" s="24"/>
      <c r="O96" s="24"/>
      <c r="P96" s="23"/>
      <c r="Q96" s="23"/>
      <c r="R96" s="23"/>
      <c r="S96" s="23"/>
    </row>
    <row r="97" spans="2:19" customFormat="1" ht="22.5" customHeight="1" thickBot="1">
      <c r="B97" s="140" t="s">
        <v>88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</row>
    <row r="98" spans="2:19">
      <c r="B98" s="13"/>
      <c r="C98" s="28"/>
      <c r="D98" s="166" t="s">
        <v>117</v>
      </c>
      <c r="E98" s="167"/>
      <c r="F98" s="167"/>
      <c r="G98" s="167"/>
      <c r="H98" s="167"/>
      <c r="I98" s="167"/>
      <c r="J98" s="167"/>
      <c r="K98" s="168"/>
      <c r="L98" s="1"/>
      <c r="M98" s="1"/>
      <c r="N98" s="1"/>
      <c r="O98" s="12"/>
    </row>
    <row r="99" spans="2:19" ht="25.2" thickBot="1">
      <c r="B99" s="14"/>
      <c r="C99" s="28"/>
      <c r="D99" s="169" t="s">
        <v>112</v>
      </c>
      <c r="E99" s="170"/>
      <c r="F99" s="170"/>
      <c r="G99" s="170"/>
      <c r="H99" s="170"/>
      <c r="I99" s="170"/>
      <c r="J99" s="170"/>
      <c r="K99" s="171"/>
      <c r="L99" s="1"/>
      <c r="M99" s="1"/>
      <c r="N99" s="1"/>
      <c r="O99" s="12"/>
    </row>
    <row r="100" spans="2:19">
      <c r="B100" s="15"/>
      <c r="C100" s="29"/>
      <c r="D100" s="172" t="s">
        <v>0</v>
      </c>
      <c r="E100" s="173"/>
      <c r="F100" s="173"/>
      <c r="G100" s="173"/>
      <c r="H100" s="173"/>
      <c r="I100" s="173"/>
      <c r="J100" s="173"/>
      <c r="K100" s="176" t="s">
        <v>89</v>
      </c>
      <c r="L100" s="16"/>
      <c r="M100" s="16"/>
      <c r="N100" s="16"/>
      <c r="O100" s="17"/>
    </row>
    <row r="101" spans="2:19">
      <c r="B101" s="15"/>
      <c r="C101" s="29"/>
      <c r="D101" s="174"/>
      <c r="E101" s="175"/>
      <c r="F101" s="175"/>
      <c r="G101" s="175"/>
      <c r="H101" s="175"/>
      <c r="I101" s="175"/>
      <c r="J101" s="175"/>
      <c r="K101" s="177"/>
      <c r="L101" s="16"/>
      <c r="M101" s="16"/>
      <c r="N101" s="16"/>
      <c r="O101" s="17"/>
    </row>
    <row r="102" spans="2:19">
      <c r="B102" s="15"/>
      <c r="C102" s="29"/>
      <c r="D102" s="178" t="s">
        <v>91</v>
      </c>
      <c r="E102" s="179"/>
      <c r="F102" s="179"/>
      <c r="G102" s="179"/>
      <c r="H102" s="179"/>
      <c r="I102" s="179"/>
      <c r="J102" s="180"/>
      <c r="K102" s="10"/>
      <c r="L102" s="16"/>
      <c r="M102" s="16"/>
      <c r="N102" s="16"/>
      <c r="O102" s="17"/>
    </row>
    <row r="103" spans="2:19">
      <c r="B103" s="15"/>
      <c r="C103" s="29"/>
      <c r="D103" s="134" t="s">
        <v>87</v>
      </c>
      <c r="E103" s="135"/>
      <c r="F103" s="135"/>
      <c r="G103" s="135"/>
      <c r="H103" s="135"/>
      <c r="I103" s="135"/>
      <c r="J103" s="136"/>
      <c r="K103" s="10"/>
      <c r="L103" s="16"/>
      <c r="M103" s="16"/>
      <c r="N103" s="16"/>
      <c r="O103" s="17"/>
    </row>
    <row r="104" spans="2:19" ht="25.2" thickBot="1">
      <c r="B104" s="18"/>
      <c r="C104" s="30"/>
      <c r="D104" s="137" t="s">
        <v>90</v>
      </c>
      <c r="E104" s="138"/>
      <c r="F104" s="138"/>
      <c r="G104" s="138"/>
      <c r="H104" s="138"/>
      <c r="I104" s="138"/>
      <c r="J104" s="139"/>
      <c r="K104" s="11"/>
      <c r="L104" s="19"/>
      <c r="M104" s="19"/>
      <c r="N104" s="19"/>
      <c r="O104" s="19"/>
      <c r="P104" s="25"/>
    </row>
    <row r="109" spans="2:19">
      <c r="N109" s="128"/>
    </row>
    <row r="110" spans="2:19">
      <c r="N110" s="128"/>
    </row>
    <row r="112" spans="2:19">
      <c r="N112" s="128">
        <f>N37+N45</f>
        <v>3596834.83</v>
      </c>
    </row>
  </sheetData>
  <mergeCells count="16">
    <mergeCell ref="D103:J103"/>
    <mergeCell ref="D104:J104"/>
    <mergeCell ref="B97:S97"/>
    <mergeCell ref="U1:X5"/>
    <mergeCell ref="B1:T1"/>
    <mergeCell ref="B2:T2"/>
    <mergeCell ref="B3:T3"/>
    <mergeCell ref="C60:O60"/>
    <mergeCell ref="C4:O4"/>
    <mergeCell ref="B60:B61"/>
    <mergeCell ref="B4:B5"/>
    <mergeCell ref="D98:K98"/>
    <mergeCell ref="D99:K99"/>
    <mergeCell ref="D100:J101"/>
    <mergeCell ref="K100:K101"/>
    <mergeCell ref="D102:J102"/>
  </mergeCells>
  <pageMargins left="0.9055118110236221" right="0.17" top="0.6" bottom="0.17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รายรับจริง - รายจ่ายจริง</vt:lpstr>
      <vt:lpstr>'รายรับจริง - รายจ่ายจริง'!Print_Area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SaenDee Computer</cp:lastModifiedBy>
  <cp:lastPrinted>2024-09-09T03:28:33Z</cp:lastPrinted>
  <dcterms:created xsi:type="dcterms:W3CDTF">2012-03-29T08:43:14Z</dcterms:created>
  <dcterms:modified xsi:type="dcterms:W3CDTF">2024-10-29T07:37:34Z</dcterms:modified>
</cp:coreProperties>
</file>